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Prysus\Desktop\LTF\website\Site\downloads\"/>
    </mc:Choice>
  </mc:AlternateContent>
  <xr:revisionPtr revIDLastSave="0" documentId="10_ncr:8100000_{F82084F7-47B4-476F-A027-056079C6C832}" xr6:coauthVersionLast="34" xr6:coauthVersionMax="34" xr10:uidLastSave="{00000000-0000-0000-0000-000000000000}"/>
  <bookViews>
    <workbookView xWindow="0" yWindow="0" windowWidth="25200" windowHeight="11175" firstSheet="1" activeTab="1" xr2:uid="{00000000-000D-0000-FFFF-FFFF00000000}"/>
  </bookViews>
  <sheets>
    <sheet name="Instructions" sheetId="7" r:id="rId1"/>
    <sheet name="NPC Sheet" sheetId="1" r:id="rId2"/>
    <sheet name="Primary Worksheet" sheetId="12" r:id="rId3"/>
    <sheet name="C1-WT" sheetId="4" r:id="rId4"/>
    <sheet name="C1-SWT" sheetId="3" r:id="rId5"/>
    <sheet name="C2-WT" sheetId="8" r:id="rId6"/>
    <sheet name="C2-SWT" sheetId="10" r:id="rId7"/>
    <sheet name="C3-WT" sheetId="9" r:id="rId8"/>
    <sheet name="C3-SWT" sheetId="11" r:id="rId9"/>
    <sheet name="Editor's Notes" sheetId="2" r:id="rId10"/>
    <sheet name="Combat" sheetId="13" state="hidden" r:id="rId11"/>
  </sheets>
  <definedNames>
    <definedName name="ability_desc">'Primary Worksheet'!$K$48:$AA$95</definedName>
    <definedName name="ability_type">'NPC Sheet'!$F$6</definedName>
    <definedName name="alt_weapon">'NPC Sheet'!$E$51</definedName>
    <definedName name="archery">Combat!$A$83:$H$97</definedName>
    <definedName name="armor">'NPC Sheet'!$E$52</definedName>
    <definedName name="armor_select">Combat!$N$27:$Q$44</definedName>
    <definedName name="armor_type">'Primary Worksheet'!$F$4:$G$6</definedName>
    <definedName name="at_1">'Primary Worksheet'!$B$20</definedName>
    <definedName name="at_1_c1">'Primary Worksheet'!$K$49</definedName>
    <definedName name="at_2">'Primary Worksheet'!$B$21</definedName>
    <definedName name="at_3">'Primary Worksheet'!$B$22</definedName>
    <definedName name="at_4">'Primary Worksheet'!$B$23</definedName>
    <definedName name="at_5">'Primary Worksheet'!$B$24</definedName>
    <definedName name="at_6">'Primary Worksheet'!$B$25</definedName>
    <definedName name="at_7">'Primary Worksheet'!$B$26</definedName>
    <definedName name="battle_axe">Combat!$A$98:$H$112</definedName>
    <definedName name="blunt">Combat!$A$113:$H$127</definedName>
    <definedName name="calc_lev">'NPC Sheet'!$J$8</definedName>
    <definedName name="carry_throw">'C1-WT'!$J$47:$K$65</definedName>
    <definedName name="chain">Combat!$A$128:$H$142</definedName>
    <definedName name="char_bonuses">'Primary Worksheet'!#REF!</definedName>
    <definedName name="char_level">#REF!</definedName>
    <definedName name="char_xp">'NPC Sheet'!$F$6</definedName>
    <definedName name="class_1">'Primary Worksheet'!$C$4</definedName>
    <definedName name="class_2">'Primary Worksheet'!$C$5</definedName>
    <definedName name="class_3">'Primary Worksheet'!$C$6</definedName>
    <definedName name="combat_bonus">'Primary Worksheet'!$AC$2:$AO$4</definedName>
    <definedName name="excel_carry">'C1-WT'!$K$49</definedName>
    <definedName name="forked">Combat!$A$143:$H$157</definedName>
    <definedName name="giant_throw">'C1-WT'!$K$56</definedName>
    <definedName name="hand_to_hand">'NPC Sheet'!$D$45</definedName>
    <definedName name="hook">Combat!$A$158:$H$172</definedName>
    <definedName name="hth_assassin">Combat!$E$1</definedName>
    <definedName name="hth_basic">Combat!$B$1</definedName>
    <definedName name="hth_bonus">Combat!$A$3:$L$78</definedName>
    <definedName name="hth_expert">Combat!$C$1</definedName>
    <definedName name="hth_list">Combat!$A$1:$E$1</definedName>
    <definedName name="hth_ma">Combat!$D$1</definedName>
    <definedName name="hth_none">Combat!$A$1</definedName>
    <definedName name="hth_occ1">'Primary Worksheet'!$C$9</definedName>
    <definedName name="hth_occ2">'Primary Worksheet'!$C$10</definedName>
    <definedName name="hth_occ3">'Primary Worksheet'!$C$11</definedName>
    <definedName name="hth_plus">'C1-SWT'!$A$56</definedName>
    <definedName name="hth_select">'Primary Worksheet'!$B$9:$C$11</definedName>
    <definedName name="hth1_cost">'C1-SWT'!$A$50:$F$54</definedName>
    <definedName name="hth2_cost">'C2-SWT'!$A$50:$F$54</definedName>
    <definedName name="hth3_cost">'C3-SWT'!$A$50:$F$54</definedName>
    <definedName name="iq_skill">'C1-WT'!$K$5</definedName>
    <definedName name="knife">Combat!$A$173:$H$187</definedName>
    <definedName name="left_parry">'C1-WT'!#REF!</definedName>
    <definedName name="left_strike">'C1-WT'!#REF!</definedName>
    <definedName name="ma_trust">'C1-WT'!$K$7</definedName>
    <definedName name="main_weapon">'NPC Sheet'!$E$50</definedName>
    <definedName name="me_insane">'C1-WT'!$K$6</definedName>
    <definedName name="me_psi">'C1-WT'!$I$6</definedName>
    <definedName name="missile">Combat!$A$308:$H$322</definedName>
    <definedName name="mouth">Combat!$A$188:$H$202</definedName>
    <definedName name="net">Combat!$A$203:$H$217</definedName>
    <definedName name="norm_throw">'C1-WT'!$K$55</definedName>
    <definedName name="occ_select">'NPC Sheet'!$F$7</definedName>
    <definedName name="occ1_attack">'C1-WT'!$H$15</definedName>
    <definedName name="occ1_coma">'C1-WT'!$H$29</definedName>
    <definedName name="occ1_control">'C1-WT'!$H$40</definedName>
    <definedName name="occ1_damage">'C1-WT'!$H$22</definedName>
    <definedName name="occ1_disease">'C1-WT'!$H$35</definedName>
    <definedName name="occ1_dodge">'C1-WT'!$H$19</definedName>
    <definedName name="occ1_element">'C1-WT'!$H$37</definedName>
    <definedName name="occ1_f_mag">'C1-WT'!$H$33</definedName>
    <definedName name="occ1_hf">'C1-WT'!$H$36</definedName>
    <definedName name="occ1_hp">'C1-WT'!$J$17:$L$31</definedName>
    <definedName name="occ1_illusion">'C1-WT'!$H$38</definedName>
    <definedName name="occ1_initiative">'C1-WT'!$H$16</definedName>
    <definedName name="occ1_insane">'C1-WT'!$H$31</definedName>
    <definedName name="occ1_iq">'C1-WT'!$G$5</definedName>
    <definedName name="occ1_isp">'C1-WT'!$R$19:$T$33</definedName>
    <definedName name="occ1_ma">'C1-WT'!$G$7</definedName>
    <definedName name="occ1_magic">'C1-WT'!$H$32</definedName>
    <definedName name="occ1_me">'C1-WT'!$G$6</definedName>
    <definedName name="occ1_parry">'C1-WT'!$H$18</definedName>
    <definedName name="occ1_pb">'C1-WT'!$G$11</definedName>
    <definedName name="occ1_pe">'C1-WT'!$G$10</definedName>
    <definedName name="occ1_poison">'C1-WT'!$H$34</definedName>
    <definedName name="occ1_possess">'C1-WT'!$H$39</definedName>
    <definedName name="occ1_pp">'C1-WT'!$G$9</definedName>
    <definedName name="occ1_ppe">'C1-WT'!$N$19:$P$33</definedName>
    <definedName name="occ1_ps">'C1-WT'!$G$8</definedName>
    <definedName name="occ1_psi">'C1-WT'!$H$30</definedName>
    <definedName name="occ1_pull">'C1-WT'!$H$21</definedName>
    <definedName name="occ1_roll">'C1-WT'!$H$20</definedName>
    <definedName name="occ1_sdc">'C1-WT'!$H$23</definedName>
    <definedName name="occ1_spd">'C1-WT'!$G$12</definedName>
    <definedName name="occ1_strike">'C1-WT'!$H$17</definedName>
    <definedName name="occ2_attack">'C2-WT'!$H$15</definedName>
    <definedName name="occ2_coma">'C2-WT'!$H$29</definedName>
    <definedName name="occ2_control">'C2-WT'!$H$40</definedName>
    <definedName name="occ2_damage">'C2-WT'!$H$22</definedName>
    <definedName name="occ2_disease">'C2-WT'!$H$35</definedName>
    <definedName name="occ2_dodge">'C2-WT'!$H$19</definedName>
    <definedName name="occ2_element">'C2-WT'!$H$37</definedName>
    <definedName name="occ2_f_mag">'C2-WT'!$H$33</definedName>
    <definedName name="occ2_hf">'C2-WT'!$H$36</definedName>
    <definedName name="occ2_hp">'C2-WT'!$J$17:$L$31</definedName>
    <definedName name="occ2_illusion">'C2-WT'!$H$38</definedName>
    <definedName name="occ2_initiative">'C2-WT'!$H$16</definedName>
    <definedName name="occ2_insane">'C2-WT'!$H$31</definedName>
    <definedName name="occ2_iq">'C2-WT'!$G$5</definedName>
    <definedName name="occ2_isp">'C2-WT'!$R$19:$T$33</definedName>
    <definedName name="occ2_ma">'C2-WT'!$G$7</definedName>
    <definedName name="occ2_magic">'C2-WT'!$H$32</definedName>
    <definedName name="occ2_me">'C2-WT'!$G$6</definedName>
    <definedName name="occ2_parry">'C2-WT'!$H$18</definedName>
    <definedName name="occ2_pb">'C2-WT'!$G$11</definedName>
    <definedName name="occ2_pe">'C2-WT'!$G$10</definedName>
    <definedName name="occ2_poison">'C2-WT'!$H$34</definedName>
    <definedName name="occ2_possess">'C2-WT'!$H$39</definedName>
    <definedName name="occ2_pp">'C2-WT'!$G$9</definedName>
    <definedName name="occ2_ppe">'C2-WT'!$N$19:$P$33</definedName>
    <definedName name="occ2_ps">'C2-WT'!$G$8</definedName>
    <definedName name="occ2_psi">'C2-WT'!$H$30</definedName>
    <definedName name="occ2_pull">'C2-WT'!$H$21</definedName>
    <definedName name="occ2_roll">'C2-WT'!$H$20</definedName>
    <definedName name="occ2_sdc">'C2-WT'!$H$23</definedName>
    <definedName name="occ2_spd">'C2-WT'!$G$12</definedName>
    <definedName name="occ2_strike">'C2-WT'!$H$17</definedName>
    <definedName name="occ3_attack">'C3-WT'!$H$15</definedName>
    <definedName name="occ3_coma">'C3-WT'!$H$29</definedName>
    <definedName name="occ3_control">'C3-WT'!$H$40</definedName>
    <definedName name="occ3_damage">'C3-WT'!$H$22</definedName>
    <definedName name="occ3_disease">'C3-WT'!$H$35</definedName>
    <definedName name="occ3_dodge">'C3-WT'!$H$19</definedName>
    <definedName name="occ3_element">'C3-WT'!$H$37</definedName>
    <definedName name="occ3_f_mag">'C3-WT'!$H$33</definedName>
    <definedName name="occ3_hf">'C3-WT'!$H$36</definedName>
    <definedName name="occ3_hp">'C3-WT'!$J$17:$L$31</definedName>
    <definedName name="occ3_illusion">'C3-WT'!$H$38</definedName>
    <definedName name="occ3_initiative">'C3-WT'!$H$16</definedName>
    <definedName name="occ3_insane">'C3-WT'!$H$31</definedName>
    <definedName name="occ3_iq">'C3-WT'!$G$5</definedName>
    <definedName name="occ3_isp">'C3-WT'!$R$19:$T$33</definedName>
    <definedName name="occ3_ma">'C3-WT'!$G$7</definedName>
    <definedName name="occ3_magic">'C3-WT'!$H$32</definedName>
    <definedName name="occ3_me">'C3-WT'!$G$6</definedName>
    <definedName name="occ3_parry">'C3-WT'!$H$18</definedName>
    <definedName name="occ3_pb">'C3-WT'!$G$11</definedName>
    <definedName name="occ3_pe">'C3-WT'!$G$10</definedName>
    <definedName name="occ3_poison">'C3-WT'!$H$34</definedName>
    <definedName name="occ3_possess">'C3-WT'!$H$39</definedName>
    <definedName name="occ3_pp">'C3-WT'!$G$9</definedName>
    <definedName name="occ3_ppe">'C3-WT'!$N$19:$P$33</definedName>
    <definedName name="occ3_ps">'C3-WT'!$G$8</definedName>
    <definedName name="occ3_psi">'C3-WT'!$H$30</definedName>
    <definedName name="occ3_pull">'C3-WT'!$H$21</definedName>
    <definedName name="occ3_roll">'C3-WT'!$H$20</definedName>
    <definedName name="occ3_sdc">'C3-WT'!$H$23</definedName>
    <definedName name="occ3_spd">'C3-WT'!$G$12</definedName>
    <definedName name="occ3_strike">'C3-WT'!$H$17</definedName>
    <definedName name="pb_charm">'C1-WT'!$K$11</definedName>
    <definedName name="pe_coma">'C1-WT'!$I$10</definedName>
    <definedName name="pe_magic">'C1-WT'!$K$10</definedName>
    <definedName name="percent">'C1-WT'!$K$69</definedName>
    <definedName name="plus">'C1-WT'!$K$68</definedName>
    <definedName name="pole_arm">Combat!$A$218:$H$232</definedName>
    <definedName name="pounds">'C1-WT'!$K$70</definedName>
    <definedName name="pp_strike">'C1-WT'!$K$9</definedName>
    <definedName name="ps_carry">'C1-WT'!$J$51:$K$53</definedName>
    <definedName name="ps_dam">'C1-WT'!$K$8</definedName>
    <definedName name="ps_giant">'C1-WT'!$J$52</definedName>
    <definedName name="ps_list">'C1-WT'!$J$51:$K$53</definedName>
    <definedName name="ps_normal">'C1-WT'!$J$51</definedName>
    <definedName name="ps_select">'Primary Worksheet'!$B$14:$C$16</definedName>
    <definedName name="ps_supernatural">'C1-WT'!$J$53</definedName>
    <definedName name="ps_throw_max">'C1-WT'!$J$63:$K$65</definedName>
    <definedName name="ps_throw1">'C1-WT'!$J$55:$K$57</definedName>
    <definedName name="ps_throw10">'C1-WT'!$J$59:$K$61</definedName>
    <definedName name="ps_type">'C1-WT'!$J$48</definedName>
    <definedName name="right_parry">'C1-WT'!#REF!</definedName>
    <definedName name="right_strike">'C1-WT'!#REF!</definedName>
    <definedName name="save_bonus">'Primary Worksheet'!$AC$7:$AO$9</definedName>
    <definedName name="save_coma">'C1-WT'!$H$29</definedName>
    <definedName name="save_control">'C1-WT'!$H$40</definedName>
    <definedName name="save_disease">'C1-WT'!$H$35</definedName>
    <definedName name="save_element">'C1-WT'!$H$37</definedName>
    <definedName name="save_f_mag">'C1-WT'!$H$33</definedName>
    <definedName name="save_faerie">'C1-WT'!$H$33</definedName>
    <definedName name="save_hf">'C1-WT'!$H$36</definedName>
    <definedName name="save_illusion">'C1-WT'!$H$38</definedName>
    <definedName name="save_insane">'C1-WT'!$H$31</definedName>
    <definedName name="save_magic">'C1-WT'!$H$32</definedName>
    <definedName name="save_poison">'C1-WT'!$H$34</definedName>
    <definedName name="save_possess">'C1-WT'!$H$39</definedName>
    <definedName name="save_psi">'C1-WT'!$H$30</definedName>
    <definedName name="shield">Combat!$A$233:$H$247</definedName>
    <definedName name="siege">Combat!$A$248:$H$262</definedName>
    <definedName name="skill_percent">'Primary Worksheet'!$Y$1:$AA$46</definedName>
    <definedName name="skill_table">'Primary Worksheet'!$K$1:$X$46</definedName>
    <definedName name="spear">Combat!$A$263:$H$277</definedName>
    <definedName name="staff">Combat!$A$278:$H$292</definedName>
    <definedName name="super_throw">'C1-WT'!$K$57</definedName>
    <definedName name="sword">Combat!$A$293:$H$307</definedName>
    <definedName name="total_attack">'NPC Sheet'!$K$45</definedName>
    <definedName name="total_crit">'NPC Sheet'!$K$47</definedName>
    <definedName name="total_damage">'NPC Sheet'!$G$47</definedName>
    <definedName name="total_db">'NPC Sheet'!$Q$47</definedName>
    <definedName name="total_dodge">'NPC Sheet'!$N$46</definedName>
    <definedName name="total_hp">'NPC Sheet'!$N$45</definedName>
    <definedName name="total_initiative">'NPC Sheet'!$D$46</definedName>
    <definedName name="total_iq">'NPC Sheet'!$B$4</definedName>
    <definedName name="total_isp">'Primary Worksheet'!$D$43</definedName>
    <definedName name="total_ko">'NPC Sheet'!$N$47</definedName>
    <definedName name="total_ma">'NPC Sheet'!$B$6</definedName>
    <definedName name="total_me">'NPC Sheet'!$B$5</definedName>
    <definedName name="total_parry">'NPC Sheet'!$K$46</definedName>
    <definedName name="total_pb">'NPC Sheet'!$B$10</definedName>
    <definedName name="total_pe">'NPC Sheet'!$B$9</definedName>
    <definedName name="total_pp">'NPC Sheet'!$B$8</definedName>
    <definedName name="total_ppe">'Primary Worksheet'!$D$42</definedName>
    <definedName name="total_ps">'NPC Sheet'!$B$7</definedName>
    <definedName name="total_pull">'NPC Sheet'!$D$47</definedName>
    <definedName name="total_roll">'NPC Sheet'!$Q$46</definedName>
    <definedName name="total_sdc">'NPC Sheet'!$Q$45</definedName>
    <definedName name="total_spd">'NPC Sheet'!$B$11</definedName>
    <definedName name="total_strike">'NPC Sheet'!$G$46</definedName>
    <definedName name="weapon_ref">Combat!$N$2:$Y$25</definedName>
    <definedName name="whip">Combat!$A$323:$H$337</definedName>
    <definedName name="wp_alt">'Primary Worksheet'!$F$14:$H$16</definedName>
    <definedName name="wp_archery">Combat!$A$80</definedName>
    <definedName name="wp_axe">Combat!$B$80</definedName>
    <definedName name="wp_blunt">Combat!$C$80</definedName>
    <definedName name="wp_bonus">Combat!$A$82:$H$337</definedName>
    <definedName name="wp_chain">Combat!$D$80</definedName>
    <definedName name="wp_forked">Combat!$E$80</definedName>
    <definedName name="wp_hook">Combat!$F$80</definedName>
    <definedName name="wp_knife">Combat!$G$80</definedName>
    <definedName name="wp_list">Combat!$A$80:$R$80</definedName>
    <definedName name="wp_main">'Primary Worksheet'!$F$9:$H$11</definedName>
    <definedName name="wp_mouth">Combat!$H$80</definedName>
    <definedName name="wp_net">Combat!$I$80</definedName>
    <definedName name="wp_paired">Combat!$J$80</definedName>
    <definedName name="wp_pole">Combat!$K$80</definedName>
    <definedName name="wp_shield">Combat!$L$80</definedName>
    <definedName name="wp_siege">Combat!$M$80</definedName>
    <definedName name="wp_spear">Combat!$N$80</definedName>
    <definedName name="wp_staff">Combat!$O$80</definedName>
    <definedName name="wp_sword">Combat!$P$80</definedName>
    <definedName name="wp_target">Combat!$Q$80</definedName>
    <definedName name="wp_whip">Combat!$R$80</definedName>
    <definedName name="wp1_occ1">'Primary Worksheet'!$G$9</definedName>
    <definedName name="wp1_occ2">'Primary Worksheet'!$G$10</definedName>
    <definedName name="wp1_occ3">'Primary Worksheet'!$G$11</definedName>
    <definedName name="wp2_occ1">'Primary Worksheet'!$G$14</definedName>
    <definedName name="wp2_occ2">'Primary Worksheet'!$G$15</definedName>
    <definedName name="wp2_occ3">'Primary Worksheet'!$G$16</definedName>
    <definedName name="xp">'NPC Sheet'!$F$6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8" l="1"/>
  <c r="E8" i="8"/>
  <c r="G20" i="8"/>
  <c r="G19" i="8"/>
  <c r="G18" i="8"/>
  <c r="G15" i="8"/>
  <c r="K31" i="10"/>
  <c r="E12" i="8"/>
  <c r="K71" i="12" l="1"/>
  <c r="K26" i="11"/>
  <c r="K27" i="11"/>
  <c r="K25" i="11"/>
  <c r="I20" i="11"/>
  <c r="D20" i="11"/>
  <c r="A20" i="11"/>
  <c r="I19" i="11"/>
  <c r="D19" i="11"/>
  <c r="A19" i="11"/>
  <c r="A18" i="11"/>
  <c r="E54" i="11" l="1"/>
  <c r="D54" i="11"/>
  <c r="C54" i="11"/>
  <c r="AB21" i="13"/>
  <c r="AB20" i="13"/>
  <c r="AB19" i="13"/>
  <c r="AB18" i="13"/>
  <c r="AB17" i="13"/>
  <c r="AB16" i="13"/>
  <c r="AB15" i="13"/>
  <c r="AB14" i="13"/>
  <c r="AB13" i="13"/>
  <c r="AB12" i="13"/>
  <c r="AB11" i="13"/>
  <c r="AB10" i="13"/>
  <c r="G23" i="9"/>
  <c r="E8" i="9"/>
  <c r="G20" i="11"/>
  <c r="G19" i="11"/>
  <c r="I18" i="11"/>
  <c r="G18" i="11"/>
  <c r="D18" i="11"/>
  <c r="AB7" i="13"/>
  <c r="AB6" i="13"/>
  <c r="AB5" i="13"/>
  <c r="AB4" i="13"/>
  <c r="G16" i="4"/>
  <c r="E12" i="4"/>
  <c r="K24" i="3"/>
  <c r="G24" i="3"/>
  <c r="K25" i="3"/>
  <c r="I25" i="3"/>
  <c r="F9" i="1"/>
  <c r="G15" i="4"/>
  <c r="G23" i="4"/>
  <c r="E8" i="4"/>
  <c r="D25" i="3" l="1"/>
  <c r="I24" i="3"/>
  <c r="A25" i="3"/>
  <c r="A24" i="3"/>
  <c r="D24" i="3"/>
  <c r="G25" i="3"/>
  <c r="B26" i="12" l="1"/>
  <c r="B25" i="12"/>
  <c r="B24" i="12"/>
  <c r="B23" i="12"/>
  <c r="B22" i="12"/>
  <c r="B21" i="12"/>
  <c r="B20" i="12"/>
  <c r="A2" i="9" l="1"/>
  <c r="A2" i="8"/>
  <c r="A2" i="4"/>
  <c r="G20" i="4" l="1"/>
  <c r="G19" i="4"/>
  <c r="G18" i="4"/>
  <c r="O33" i="9" l="1"/>
  <c r="O32" i="9"/>
  <c r="O31" i="9"/>
  <c r="O30" i="9"/>
  <c r="O29" i="9"/>
  <c r="O28" i="9"/>
  <c r="O27" i="9"/>
  <c r="O26" i="9"/>
  <c r="O25" i="9"/>
  <c r="O24" i="9"/>
  <c r="O23" i="9"/>
  <c r="O22" i="9"/>
  <c r="O21" i="9"/>
  <c r="O20" i="9"/>
  <c r="O19" i="9"/>
  <c r="O33" i="4"/>
  <c r="O19" i="4"/>
  <c r="O32" i="4"/>
  <c r="O31" i="4"/>
  <c r="O30" i="4"/>
  <c r="O29" i="4"/>
  <c r="O28" i="4"/>
  <c r="O27" i="4"/>
  <c r="O26" i="4"/>
  <c r="O25" i="4"/>
  <c r="O24" i="4"/>
  <c r="O23" i="4"/>
  <c r="O22" i="4"/>
  <c r="O21" i="4"/>
  <c r="O20" i="4"/>
  <c r="D36" i="4"/>
  <c r="D54" i="3"/>
  <c r="C54" i="3"/>
  <c r="D53" i="3"/>
  <c r="C53" i="3"/>
  <c r="C52" i="3"/>
  <c r="D54" i="10"/>
  <c r="C54" i="10"/>
  <c r="D53" i="10"/>
  <c r="C53" i="10"/>
  <c r="C52" i="10"/>
  <c r="E53" i="11"/>
  <c r="D53" i="11"/>
  <c r="C53" i="11"/>
  <c r="C52" i="11"/>
  <c r="AC2" i="12" l="1"/>
  <c r="P33" i="9"/>
  <c r="P32" i="9"/>
  <c r="P31" i="9"/>
  <c r="P30" i="9"/>
  <c r="P29" i="9"/>
  <c r="P28" i="9"/>
  <c r="P27" i="9"/>
  <c r="P26" i="9"/>
  <c r="P25" i="9"/>
  <c r="P24" i="9"/>
  <c r="P23" i="9"/>
  <c r="P22" i="9"/>
  <c r="P21" i="9"/>
  <c r="P20" i="9"/>
  <c r="P19" i="9"/>
  <c r="P33" i="4"/>
  <c r="P32" i="4"/>
  <c r="P31" i="4"/>
  <c r="P30" i="4"/>
  <c r="P29" i="4"/>
  <c r="P28" i="4"/>
  <c r="P27" i="4"/>
  <c r="P26" i="4"/>
  <c r="P25" i="4"/>
  <c r="P24" i="4"/>
  <c r="P23" i="4"/>
  <c r="P22" i="4"/>
  <c r="P21" i="4"/>
  <c r="P20" i="4"/>
  <c r="P19" i="4"/>
  <c r="AN4" i="12" l="1"/>
  <c r="AN2" i="12"/>
  <c r="AC9" i="12"/>
  <c r="AC8" i="12"/>
  <c r="AC7" i="12"/>
  <c r="AC4" i="12"/>
  <c r="AC3" i="12"/>
  <c r="O11" i="13" l="1"/>
  <c r="O25" i="13"/>
  <c r="O5" i="13"/>
  <c r="O22" i="13"/>
  <c r="O6" i="13"/>
  <c r="O15" i="13"/>
  <c r="O4" i="13"/>
  <c r="O21" i="13"/>
  <c r="H10" i="12" s="1"/>
  <c r="O13" i="13"/>
  <c r="O14" i="13"/>
  <c r="H15" i="12" s="1"/>
  <c r="O20" i="13"/>
  <c r="O23" i="13"/>
  <c r="H14" i="12" s="1"/>
  <c r="A16" i="3" s="1"/>
  <c r="O18" i="13"/>
  <c r="O9" i="13"/>
  <c r="O7" i="13"/>
  <c r="H16" i="12" s="1"/>
  <c r="A24" i="11" s="1"/>
  <c r="O10" i="13"/>
  <c r="O24" i="13"/>
  <c r="O17" i="13"/>
  <c r="O8" i="13"/>
  <c r="O12" i="13"/>
  <c r="O16" i="13"/>
  <c r="H11" i="12" s="1"/>
  <c r="A23" i="11" s="1"/>
  <c r="O3" i="13"/>
  <c r="O19"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F6" i="12"/>
  <c r="F5" i="12"/>
  <c r="F4" i="12"/>
  <c r="E52" i="1" s="1"/>
  <c r="K52" i="1" s="1"/>
  <c r="F16" i="12"/>
  <c r="F15" i="12"/>
  <c r="F14" i="12"/>
  <c r="F11" i="12"/>
  <c r="F10" i="12"/>
  <c r="F9" i="12"/>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V10" i="13" s="1"/>
  <c r="A157" i="13"/>
  <c r="A156" i="13"/>
  <c r="A155" i="13"/>
  <c r="A154" i="13"/>
  <c r="A153" i="13"/>
  <c r="A152" i="13"/>
  <c r="A151" i="13"/>
  <c r="A150" i="13"/>
  <c r="A149" i="13"/>
  <c r="A148" i="13"/>
  <c r="A147" i="13"/>
  <c r="A146" i="13"/>
  <c r="A145" i="13"/>
  <c r="A144" i="13"/>
  <c r="A143" i="13"/>
  <c r="A141" i="13"/>
  <c r="A142"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E50" i="1" l="1"/>
  <c r="E51" i="1"/>
  <c r="P51" i="1" s="1"/>
  <c r="V5" i="13"/>
  <c r="H9" i="12"/>
  <c r="U3" i="13"/>
  <c r="R3" i="13"/>
  <c r="V3" i="13"/>
  <c r="V6" i="13"/>
  <c r="U6" i="13"/>
  <c r="R15" i="13"/>
  <c r="V15" i="13"/>
  <c r="R6" i="13"/>
  <c r="U15" i="13"/>
  <c r="V11" i="13"/>
  <c r="R19" i="13"/>
  <c r="R11" i="13"/>
  <c r="V19" i="13"/>
  <c r="U11" i="13"/>
  <c r="U19" i="13"/>
  <c r="Y24" i="13"/>
  <c r="R24" i="13"/>
  <c r="V24" i="13"/>
  <c r="U24" i="13"/>
  <c r="V13" i="13"/>
  <c r="V20" i="13"/>
  <c r="R20" i="13"/>
  <c r="U13" i="13"/>
  <c r="R13" i="13"/>
  <c r="V14" i="13"/>
  <c r="U20" i="13"/>
  <c r="U14" i="13"/>
  <c r="R14" i="13"/>
  <c r="V8" i="13"/>
  <c r="R8" i="13"/>
  <c r="U17" i="13"/>
  <c r="U8" i="13"/>
  <c r="R17" i="13"/>
  <c r="V17" i="13"/>
  <c r="Y5" i="13"/>
  <c r="R5" i="13"/>
  <c r="U5" i="13"/>
  <c r="Y10" i="13"/>
  <c r="R10" i="13"/>
  <c r="U10" i="13"/>
  <c r="V25" i="13"/>
  <c r="U18" i="13"/>
  <c r="R25" i="13"/>
  <c r="V9" i="13"/>
  <c r="R18" i="13"/>
  <c r="V18" i="13"/>
  <c r="U9" i="13"/>
  <c r="R9" i="13"/>
  <c r="U25" i="13"/>
  <c r="V4" i="13"/>
  <c r="R4" i="13"/>
  <c r="U4" i="13"/>
  <c r="U21" i="13"/>
  <c r="V21" i="13"/>
  <c r="R21" i="13"/>
  <c r="V12" i="13"/>
  <c r="R16" i="13"/>
  <c r="U12" i="13"/>
  <c r="R12" i="13"/>
  <c r="V16" i="13"/>
  <c r="U16" i="13"/>
  <c r="U7" i="13"/>
  <c r="V7" i="13"/>
  <c r="R7" i="13"/>
  <c r="U23" i="13"/>
  <c r="R23" i="13"/>
  <c r="V23" i="13"/>
  <c r="V22" i="13"/>
  <c r="R22" i="13"/>
  <c r="U22" i="13"/>
  <c r="F20" i="9"/>
  <c r="F16" i="9"/>
  <c r="F16" i="4"/>
  <c r="F19" i="4"/>
  <c r="F19" i="9"/>
  <c r="F22" i="9"/>
  <c r="F18" i="9"/>
  <c r="F22" i="8"/>
  <c r="F18" i="8"/>
  <c r="F22" i="4"/>
  <c r="F18" i="4"/>
  <c r="F17" i="8"/>
  <c r="F21" i="4"/>
  <c r="F16" i="8"/>
  <c r="F15" i="9"/>
  <c r="F15" i="8"/>
  <c r="F21" i="9"/>
  <c r="F17" i="9"/>
  <c r="F21" i="8"/>
  <c r="F17" i="4"/>
  <c r="F20" i="8"/>
  <c r="F20" i="4"/>
  <c r="F19" i="8"/>
  <c r="F15" i="4"/>
  <c r="H52" i="1"/>
  <c r="N52" i="1"/>
  <c r="B16" i="12"/>
  <c r="B15" i="12"/>
  <c r="B14" i="12"/>
  <c r="J48" i="4" s="1"/>
  <c r="P50" i="1" l="1"/>
  <c r="A15" i="3"/>
  <c r="Y19" i="13"/>
  <c r="S19" i="13"/>
  <c r="Y20" i="13"/>
  <c r="Y22" i="13"/>
  <c r="S3" i="13"/>
  <c r="Y7" i="13"/>
  <c r="Y11" i="13"/>
  <c r="S11" i="13"/>
  <c r="S8" i="13"/>
  <c r="S7" i="13"/>
  <c r="S23" i="13"/>
  <c r="S21" i="13"/>
  <c r="S22" i="13"/>
  <c r="S24" i="13"/>
  <c r="S18" i="13"/>
  <c r="S15" i="13"/>
  <c r="S10" i="13"/>
  <c r="S13" i="13"/>
  <c r="S17" i="13"/>
  <c r="S9" i="13"/>
  <c r="S20" i="13"/>
  <c r="S4" i="13"/>
  <c r="S5" i="13"/>
  <c r="S16" i="13"/>
  <c r="S14" i="13"/>
  <c r="S12" i="13"/>
  <c r="S25" i="13"/>
  <c r="S6" i="13"/>
  <c r="Q51" i="1" l="1"/>
  <c r="N51" i="1"/>
  <c r="N50" i="1"/>
  <c r="Q50" i="1"/>
  <c r="E26" i="12"/>
  <c r="E25" i="12"/>
  <c r="I26" i="12"/>
  <c r="H26" i="12"/>
  <c r="G26" i="12"/>
  <c r="I25" i="12"/>
  <c r="H25" i="12"/>
  <c r="G25" i="12"/>
  <c r="H24" i="12"/>
  <c r="G24" i="12"/>
  <c r="F26" i="12"/>
  <c r="F25" i="12"/>
  <c r="F24" i="12"/>
  <c r="I23" i="12"/>
  <c r="H23" i="12"/>
  <c r="G23" i="12"/>
  <c r="F23" i="12"/>
  <c r="I22" i="12"/>
  <c r="H22" i="12"/>
  <c r="G22" i="12"/>
  <c r="F22" i="12"/>
  <c r="I21" i="12"/>
  <c r="H21" i="12"/>
  <c r="G21" i="12"/>
  <c r="F21" i="12"/>
  <c r="I20" i="12"/>
  <c r="H20" i="12"/>
  <c r="A58" i="1" s="1"/>
  <c r="G20" i="12"/>
  <c r="A57" i="1" s="1"/>
  <c r="F20" i="12"/>
  <c r="E20" i="12"/>
  <c r="A54" i="1"/>
  <c r="K2" i="12"/>
  <c r="U3" i="12"/>
  <c r="U4" i="12"/>
  <c r="U5" i="12"/>
  <c r="U6" i="12"/>
  <c r="U7" i="12"/>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P3" i="12"/>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U2" i="12"/>
  <c r="P2" i="12"/>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B11" i="12"/>
  <c r="B10" i="12"/>
  <c r="B9" i="12"/>
  <c r="A56" i="1" l="1"/>
  <c r="D45" i="1"/>
  <c r="K47" i="1" s="1"/>
  <c r="F32" i="12"/>
  <c r="G6" i="9"/>
  <c r="Z1" i="12"/>
  <c r="AA1" i="12"/>
  <c r="Y1" i="12"/>
  <c r="U1" i="12"/>
  <c r="P1" i="12"/>
  <c r="K1" i="12"/>
  <c r="A25" i="1" s="1"/>
  <c r="F30" i="12"/>
  <c r="E30" i="12"/>
  <c r="D30" i="12"/>
  <c r="N47" i="1" l="1"/>
  <c r="Q47" i="1"/>
  <c r="M27" i="1"/>
  <c r="A24" i="1"/>
  <c r="M29" i="1"/>
  <c r="A32" i="1"/>
  <c r="G33" i="1"/>
  <c r="M34" i="1"/>
  <c r="A37" i="1"/>
  <c r="G32" i="1"/>
  <c r="A31" i="1"/>
  <c r="M28" i="1"/>
  <c r="G28" i="1"/>
  <c r="M25" i="1"/>
  <c r="G24" i="1"/>
  <c r="G36" i="1"/>
  <c r="A35" i="1"/>
  <c r="A26" i="1"/>
  <c r="G27" i="1"/>
  <c r="M32" i="1"/>
  <c r="M33" i="1"/>
  <c r="A36" i="1"/>
  <c r="G37" i="1"/>
  <c r="A23" i="1"/>
  <c r="G26" i="1"/>
  <c r="M31" i="1"/>
  <c r="G23" i="1"/>
  <c r="A30" i="1"/>
  <c r="G31" i="1"/>
  <c r="M36" i="1"/>
  <c r="M37" i="1"/>
  <c r="G25" i="1"/>
  <c r="M26" i="1"/>
  <c r="A29" i="1"/>
  <c r="G34" i="1"/>
  <c r="G30" i="1"/>
  <c r="M24" i="1"/>
  <c r="A34" i="1"/>
  <c r="G35" i="1"/>
  <c r="A27" i="1"/>
  <c r="A28" i="1"/>
  <c r="G29" i="1"/>
  <c r="M30" i="1"/>
  <c r="A33" i="1"/>
  <c r="M23" i="1"/>
  <c r="M35" i="1"/>
  <c r="N46" i="11"/>
  <c r="M46" i="11"/>
  <c r="N45" i="11"/>
  <c r="M45" i="11"/>
  <c r="N44" i="11"/>
  <c r="M44" i="11"/>
  <c r="N43" i="11"/>
  <c r="M43" i="11"/>
  <c r="N42" i="11"/>
  <c r="M42" i="11"/>
  <c r="N41" i="11"/>
  <c r="M41" i="11"/>
  <c r="N40" i="11"/>
  <c r="M40" i="11"/>
  <c r="N39" i="11"/>
  <c r="M39" i="11"/>
  <c r="N38" i="11"/>
  <c r="M38" i="11"/>
  <c r="N37" i="11"/>
  <c r="M37" i="11"/>
  <c r="N36" i="11"/>
  <c r="M36" i="11"/>
  <c r="N35" i="11"/>
  <c r="M35" i="11"/>
  <c r="N34" i="11"/>
  <c r="N33" i="11"/>
  <c r="M33" i="11"/>
  <c r="N32" i="11"/>
  <c r="M32" i="11"/>
  <c r="N31" i="11"/>
  <c r="M31" i="11"/>
  <c r="N30" i="11"/>
  <c r="M30" i="11"/>
  <c r="N29" i="11"/>
  <c r="M29" i="11"/>
  <c r="N28" i="11"/>
  <c r="M28" i="11"/>
  <c r="N27" i="11"/>
  <c r="N26" i="11"/>
  <c r="M26" i="11"/>
  <c r="N25" i="11"/>
  <c r="N24" i="11"/>
  <c r="M24" i="11"/>
  <c r="N23" i="11"/>
  <c r="M23" i="11"/>
  <c r="N22" i="11"/>
  <c r="M22" i="11"/>
  <c r="N21" i="11"/>
  <c r="N20" i="11"/>
  <c r="N19" i="11"/>
  <c r="N18" i="11"/>
  <c r="M18" i="11"/>
  <c r="N17" i="11"/>
  <c r="M17" i="11"/>
  <c r="N16" i="11"/>
  <c r="M16" i="11"/>
  <c r="N15" i="11"/>
  <c r="N14" i="11"/>
  <c r="M14" i="11"/>
  <c r="N13" i="11"/>
  <c r="M13" i="11"/>
  <c r="N12" i="11"/>
  <c r="M12" i="11"/>
  <c r="N11" i="11"/>
  <c r="M11" i="11"/>
  <c r="N10" i="11"/>
  <c r="M10" i="11"/>
  <c r="N9" i="11"/>
  <c r="M9" i="11"/>
  <c r="N8" i="11"/>
  <c r="M8" i="11"/>
  <c r="N7" i="11"/>
  <c r="M7" i="11"/>
  <c r="N6" i="11"/>
  <c r="M6" i="11"/>
  <c r="N5" i="11"/>
  <c r="M5" i="11"/>
  <c r="N4" i="11"/>
  <c r="N3" i="11"/>
  <c r="M3" i="11"/>
  <c r="N2" i="11"/>
  <c r="M2" i="11"/>
  <c r="N46" i="10"/>
  <c r="M46" i="10"/>
  <c r="N45" i="10"/>
  <c r="M45" i="10"/>
  <c r="N44" i="10"/>
  <c r="M44" i="10"/>
  <c r="N43" i="10"/>
  <c r="M43" i="10"/>
  <c r="N42" i="10"/>
  <c r="M42" i="10"/>
  <c r="N41" i="10"/>
  <c r="M41" i="10"/>
  <c r="N40" i="10"/>
  <c r="N39" i="10"/>
  <c r="M39" i="10"/>
  <c r="N38" i="10"/>
  <c r="M38" i="10"/>
  <c r="N37" i="10"/>
  <c r="M37" i="10"/>
  <c r="N36" i="10"/>
  <c r="M36" i="10"/>
  <c r="N35" i="10"/>
  <c r="M35" i="10"/>
  <c r="N33" i="10"/>
  <c r="N32" i="10"/>
  <c r="M32" i="10"/>
  <c r="N31" i="10"/>
  <c r="M31" i="10"/>
  <c r="N30" i="10"/>
  <c r="M30" i="10"/>
  <c r="N29" i="10"/>
  <c r="N28" i="10"/>
  <c r="N27" i="10"/>
  <c r="M27" i="10"/>
  <c r="N26" i="10"/>
  <c r="M26" i="10"/>
  <c r="N25" i="10"/>
  <c r="M25" i="10"/>
  <c r="N24" i="10"/>
  <c r="N23" i="10"/>
  <c r="N22" i="10"/>
  <c r="M22" i="10"/>
  <c r="N21" i="10"/>
  <c r="M21" i="10"/>
  <c r="N20" i="10"/>
  <c r="M20" i="10"/>
  <c r="N19" i="10"/>
  <c r="M19" i="10"/>
  <c r="N18" i="10"/>
  <c r="M18" i="10"/>
  <c r="N17" i="10"/>
  <c r="M17" i="10"/>
  <c r="N16" i="10"/>
  <c r="M16" i="10"/>
  <c r="N15" i="10"/>
  <c r="M15" i="10"/>
  <c r="N14" i="10"/>
  <c r="M14" i="10"/>
  <c r="N13" i="10"/>
  <c r="M13" i="10"/>
  <c r="N12" i="10"/>
  <c r="N11" i="10"/>
  <c r="M11" i="10"/>
  <c r="N10" i="10"/>
  <c r="M10" i="10"/>
  <c r="N9" i="10"/>
  <c r="M9" i="10"/>
  <c r="N8" i="10"/>
  <c r="M8" i="10"/>
  <c r="N7" i="10"/>
  <c r="M7" i="10"/>
  <c r="N6" i="10"/>
  <c r="M6" i="10"/>
  <c r="N5" i="10"/>
  <c r="M5" i="10"/>
  <c r="N4" i="10"/>
  <c r="N3" i="10"/>
  <c r="M3" i="10"/>
  <c r="N2" i="10"/>
  <c r="M2" i="10"/>
  <c r="H40" i="9"/>
  <c r="AO9" i="12" s="1"/>
  <c r="H37" i="9"/>
  <c r="AL9" i="12" s="1"/>
  <c r="H36" i="9"/>
  <c r="AK9" i="12" s="1"/>
  <c r="H23" i="9"/>
  <c r="AL4" i="12" s="1"/>
  <c r="H21" i="9"/>
  <c r="AJ4" i="12" s="1"/>
  <c r="H20" i="9"/>
  <c r="AI4" i="12" s="1"/>
  <c r="H15" i="9"/>
  <c r="AD4" i="12" s="1"/>
  <c r="G12" i="9"/>
  <c r="F38" i="12" s="1"/>
  <c r="G11" i="9"/>
  <c r="F37" i="12" s="1"/>
  <c r="G10" i="9"/>
  <c r="F36" i="12" s="1"/>
  <c r="G9" i="9"/>
  <c r="F35" i="12" s="1"/>
  <c r="G8" i="9"/>
  <c r="F34" i="12" s="1"/>
  <c r="G7" i="9"/>
  <c r="F33" i="12" s="1"/>
  <c r="G5" i="9"/>
  <c r="F31" i="12" s="1"/>
  <c r="H40" i="8"/>
  <c r="AO8" i="12" s="1"/>
  <c r="H37" i="8"/>
  <c r="AL8" i="12" s="1"/>
  <c r="H36" i="8"/>
  <c r="AK8" i="12" s="1"/>
  <c r="H23" i="8"/>
  <c r="AL3" i="12" s="1"/>
  <c r="H21" i="8"/>
  <c r="AJ3" i="12" s="1"/>
  <c r="H20" i="8"/>
  <c r="AI3" i="12" s="1"/>
  <c r="H15" i="8"/>
  <c r="AD3" i="12" s="1"/>
  <c r="G12" i="8"/>
  <c r="E38" i="12" s="1"/>
  <c r="G11" i="8"/>
  <c r="E37" i="12" s="1"/>
  <c r="G10" i="8"/>
  <c r="G9" i="8"/>
  <c r="E35" i="12" s="1"/>
  <c r="G8" i="8"/>
  <c r="E34" i="12" s="1"/>
  <c r="G7" i="8"/>
  <c r="E33" i="12" s="1"/>
  <c r="G6" i="8"/>
  <c r="E32" i="12" s="1"/>
  <c r="G5" i="8"/>
  <c r="E31" i="12" s="1"/>
  <c r="E36" i="12" l="1"/>
  <c r="O17" i="8"/>
  <c r="N3" i="3"/>
  <c r="N4" i="3"/>
  <c r="N5" i="3"/>
  <c r="N6" i="3"/>
  <c r="N7" i="3"/>
  <c r="N8" i="3"/>
  <c r="N9" i="3"/>
  <c r="N10" i="3"/>
  <c r="N11" i="3"/>
  <c r="N12" i="3"/>
  <c r="N13" i="3"/>
  <c r="N14" i="3"/>
  <c r="N15" i="3"/>
  <c r="N16" i="3"/>
  <c r="N17" i="3"/>
  <c r="N18" i="3"/>
  <c r="N19" i="3"/>
  <c r="N20" i="3"/>
  <c r="N21" i="3"/>
  <c r="N22" i="3"/>
  <c r="N24" i="3"/>
  <c r="N25" i="3"/>
  <c r="N26" i="3"/>
  <c r="N27" i="3"/>
  <c r="N28" i="3"/>
  <c r="N29" i="3"/>
  <c r="N30" i="3"/>
  <c r="N31" i="3"/>
  <c r="N32" i="3"/>
  <c r="N33" i="3"/>
  <c r="N34" i="3"/>
  <c r="N35" i="3"/>
  <c r="N36" i="3"/>
  <c r="N37" i="3"/>
  <c r="N38" i="3"/>
  <c r="N39" i="3"/>
  <c r="N40" i="3"/>
  <c r="N41" i="3"/>
  <c r="N42" i="3"/>
  <c r="N43" i="3"/>
  <c r="N44" i="3"/>
  <c r="N45" i="3"/>
  <c r="N46" i="3"/>
  <c r="M3" i="3"/>
  <c r="M6" i="3"/>
  <c r="M8" i="3"/>
  <c r="M9" i="3"/>
  <c r="M10" i="3"/>
  <c r="M11" i="3"/>
  <c r="M12" i="3"/>
  <c r="M13" i="3"/>
  <c r="M14" i="3"/>
  <c r="M15" i="3"/>
  <c r="M16" i="3"/>
  <c r="M17" i="3"/>
  <c r="M18" i="3"/>
  <c r="M19" i="3"/>
  <c r="M21" i="3"/>
  <c r="M22" i="3"/>
  <c r="M24" i="3"/>
  <c r="M26" i="3"/>
  <c r="M27" i="3"/>
  <c r="M28" i="3"/>
  <c r="M29" i="3"/>
  <c r="M30" i="3"/>
  <c r="M31" i="3"/>
  <c r="M32" i="3"/>
  <c r="M33" i="3"/>
  <c r="M34" i="3"/>
  <c r="M35" i="3"/>
  <c r="M36" i="3"/>
  <c r="M37" i="3"/>
  <c r="M38" i="3"/>
  <c r="M39" i="3"/>
  <c r="M40" i="3"/>
  <c r="M41" i="3"/>
  <c r="M42" i="3"/>
  <c r="M43" i="3"/>
  <c r="M44" i="3"/>
  <c r="M45" i="3"/>
  <c r="M46" i="3"/>
  <c r="P33" i="8" l="1"/>
  <c r="P29" i="8"/>
  <c r="P25" i="8"/>
  <c r="P21" i="8"/>
  <c r="P30" i="8"/>
  <c r="P26" i="8"/>
  <c r="P22" i="8"/>
  <c r="P32" i="8"/>
  <c r="AN3" i="12" s="1"/>
  <c r="D42" i="12" s="1"/>
  <c r="K77" i="12" s="1"/>
  <c r="E24" i="12" s="1"/>
  <c r="P28" i="8"/>
  <c r="P24" i="8"/>
  <c r="P20" i="8"/>
  <c r="P31" i="8"/>
  <c r="P27" i="8"/>
  <c r="P23" i="8"/>
  <c r="P19" i="8"/>
  <c r="H36" i="4"/>
  <c r="H37" i="4"/>
  <c r="H40" i="4"/>
  <c r="AO7" i="12" l="1"/>
  <c r="Q42" i="1" s="1"/>
  <c r="AL7" i="12"/>
  <c r="N40" i="1" s="1"/>
  <c r="AK7" i="12"/>
  <c r="J40" i="1" s="1"/>
  <c r="H23" i="4"/>
  <c r="AL2" i="12" s="1"/>
  <c r="Q45" i="1" s="1"/>
  <c r="H20" i="4"/>
  <c r="AI2" i="12" s="1"/>
  <c r="Q46" i="1" s="1"/>
  <c r="H21" i="4"/>
  <c r="AJ2" i="12" s="1"/>
  <c r="D47" i="1" s="1"/>
  <c r="H15" i="4"/>
  <c r="AD2" i="12" s="1"/>
  <c r="K45" i="1" s="1"/>
  <c r="G7" i="4" l="1"/>
  <c r="D33" i="12" s="1"/>
  <c r="B6" i="1" s="1"/>
  <c r="K7" i="4" s="1"/>
  <c r="G8" i="4"/>
  <c r="D34" i="12" s="1"/>
  <c r="B7" i="1" s="1"/>
  <c r="K8" i="4" s="1"/>
  <c r="G9" i="4"/>
  <c r="D35" i="12" s="1"/>
  <c r="B8" i="1" s="1"/>
  <c r="K9" i="4" s="1"/>
  <c r="G10" i="4"/>
  <c r="D36" i="12" s="1"/>
  <c r="B9" i="1" s="1"/>
  <c r="G11" i="4"/>
  <c r="D37" i="12" s="1"/>
  <c r="B10" i="1" s="1"/>
  <c r="K11" i="4" s="1"/>
  <c r="G12" i="4"/>
  <c r="G6" i="4"/>
  <c r="D32" i="12" s="1"/>
  <c r="B5" i="1" s="1"/>
  <c r="G5" i="4"/>
  <c r="D31" i="12" s="1"/>
  <c r="S16" i="9" l="1"/>
  <c r="S16" i="4"/>
  <c r="S16" i="8"/>
  <c r="K10" i="4"/>
  <c r="I10" i="4"/>
  <c r="K6" i="4"/>
  <c r="I6" i="4"/>
  <c r="K15" i="8"/>
  <c r="K15" i="9"/>
  <c r="Q18" i="1"/>
  <c r="C39" i="8"/>
  <c r="H39" i="8" s="1"/>
  <c r="AN8" i="12" s="1"/>
  <c r="C39" i="4"/>
  <c r="H39" i="4" s="1"/>
  <c r="C39" i="9"/>
  <c r="H39" i="9" s="1"/>
  <c r="AN9" i="12" s="1"/>
  <c r="C17" i="9"/>
  <c r="C17" i="4"/>
  <c r="C19" i="8"/>
  <c r="H19" i="8" s="1"/>
  <c r="AH3" i="12" s="1"/>
  <c r="C19" i="9"/>
  <c r="C18" i="8"/>
  <c r="H18" i="8" s="1"/>
  <c r="AG3" i="12" s="1"/>
  <c r="C19" i="4"/>
  <c r="C18" i="9"/>
  <c r="C17" i="8"/>
  <c r="H17" i="8" s="1"/>
  <c r="AF3" i="12" s="1"/>
  <c r="C18" i="4"/>
  <c r="Q19" i="1"/>
  <c r="K65" i="4"/>
  <c r="K64" i="4"/>
  <c r="K63" i="4"/>
  <c r="K49" i="4"/>
  <c r="K56" i="4" s="1"/>
  <c r="K60" i="4" s="1"/>
  <c r="D38" i="12"/>
  <c r="B11" i="1" s="1"/>
  <c r="L16" i="1" s="1"/>
  <c r="F16" i="1"/>
  <c r="F15" i="1" s="1"/>
  <c r="C16" i="9"/>
  <c r="H16" i="9" s="1"/>
  <c r="AE4" i="12" s="1"/>
  <c r="C16" i="8"/>
  <c r="H16" i="8" s="1"/>
  <c r="AE3" i="12" s="1"/>
  <c r="B4" i="1"/>
  <c r="K5" i="4" s="1"/>
  <c r="C16" i="4"/>
  <c r="H16" i="4" s="1"/>
  <c r="AE2" i="12" s="1"/>
  <c r="L19" i="1"/>
  <c r="L18" i="1" s="1"/>
  <c r="K15" i="4"/>
  <c r="T32" i="8" l="1"/>
  <c r="T30" i="8"/>
  <c r="T28" i="8"/>
  <c r="T26" i="8"/>
  <c r="T24" i="8"/>
  <c r="T22" i="8"/>
  <c r="T20" i="8"/>
  <c r="T33" i="8"/>
  <c r="T31" i="8"/>
  <c r="T29" i="8"/>
  <c r="T27" i="8"/>
  <c r="T25" i="8"/>
  <c r="T23" i="8"/>
  <c r="T21" i="8"/>
  <c r="T19" i="8"/>
  <c r="T19" i="4"/>
  <c r="T31" i="4"/>
  <c r="T27" i="4"/>
  <c r="T23" i="4"/>
  <c r="T33" i="4"/>
  <c r="T30" i="4"/>
  <c r="T26" i="4"/>
  <c r="T22" i="4"/>
  <c r="T29" i="4"/>
  <c r="T25" i="4"/>
  <c r="T21" i="4"/>
  <c r="T32" i="4"/>
  <c r="T28" i="4"/>
  <c r="T24" i="4"/>
  <c r="T20" i="4"/>
  <c r="T33" i="9"/>
  <c r="T31" i="9"/>
  <c r="T29" i="9"/>
  <c r="T27" i="9"/>
  <c r="T25" i="9"/>
  <c r="T23" i="9"/>
  <c r="T21" i="9"/>
  <c r="T19" i="9"/>
  <c r="T32" i="9"/>
  <c r="T30" i="9"/>
  <c r="T28" i="9"/>
  <c r="T26" i="9"/>
  <c r="T24" i="9"/>
  <c r="T22" i="9"/>
  <c r="T20" i="9"/>
  <c r="F19" i="1"/>
  <c r="D46" i="1"/>
  <c r="K52" i="4"/>
  <c r="K57" i="4"/>
  <c r="K61" i="4" s="1"/>
  <c r="K53" i="4"/>
  <c r="K51" i="4"/>
  <c r="L30" i="9"/>
  <c r="L25" i="9"/>
  <c r="L18" i="9"/>
  <c r="L28" i="9"/>
  <c r="L20" i="9"/>
  <c r="L17" i="9"/>
  <c r="L24" i="9"/>
  <c r="L29" i="9"/>
  <c r="L21" i="9"/>
  <c r="L23" i="9"/>
  <c r="L26" i="9"/>
  <c r="L27" i="9"/>
  <c r="L19" i="9"/>
  <c r="L22" i="9"/>
  <c r="L31" i="9"/>
  <c r="L19" i="4"/>
  <c r="L23" i="4"/>
  <c r="L27" i="4"/>
  <c r="L31" i="4"/>
  <c r="L20" i="4"/>
  <c r="L24" i="4"/>
  <c r="L28" i="4"/>
  <c r="L18" i="4"/>
  <c r="L22" i="4"/>
  <c r="L26" i="4"/>
  <c r="L30" i="4"/>
  <c r="L17" i="4"/>
  <c r="L21" i="4"/>
  <c r="L25" i="4"/>
  <c r="L29" i="4"/>
  <c r="L31" i="8"/>
  <c r="L17" i="8"/>
  <c r="L18" i="8"/>
  <c r="L19" i="8"/>
  <c r="L22" i="8"/>
  <c r="L21" i="8"/>
  <c r="L20" i="8"/>
  <c r="L25" i="8"/>
  <c r="L27" i="8"/>
  <c r="L30" i="8"/>
  <c r="L29" i="8"/>
  <c r="L28" i="8"/>
  <c r="L23" i="8"/>
  <c r="L26" i="8"/>
  <c r="L24" i="8"/>
  <c r="C35" i="4"/>
  <c r="H35" i="4" s="1"/>
  <c r="C32" i="9"/>
  <c r="H32" i="9" s="1"/>
  <c r="AG9" i="12" s="1"/>
  <c r="C33" i="8"/>
  <c r="H33" i="8" s="1"/>
  <c r="AH8" i="12" s="1"/>
  <c r="C34" i="4"/>
  <c r="H34" i="4" s="1"/>
  <c r="C35" i="9"/>
  <c r="H35" i="9" s="1"/>
  <c r="AJ9" i="12" s="1"/>
  <c r="C32" i="8"/>
  <c r="H32" i="8" s="1"/>
  <c r="AG8" i="12" s="1"/>
  <c r="C34" i="9"/>
  <c r="H34" i="9" s="1"/>
  <c r="AI9" i="12" s="1"/>
  <c r="C35" i="8"/>
  <c r="H35" i="8" s="1"/>
  <c r="AJ8" i="12" s="1"/>
  <c r="C32" i="4"/>
  <c r="H32" i="4" s="1"/>
  <c r="C33" i="9"/>
  <c r="H33" i="9" s="1"/>
  <c r="AH9" i="12" s="1"/>
  <c r="C33" i="4"/>
  <c r="H33" i="4" s="1"/>
  <c r="C34" i="8"/>
  <c r="H34" i="8" s="1"/>
  <c r="AI8" i="12" s="1"/>
  <c r="C30" i="4"/>
  <c r="H30" i="4" s="1"/>
  <c r="AE7" i="12" s="1"/>
  <c r="C30" i="9"/>
  <c r="H30" i="9" s="1"/>
  <c r="AE9" i="12" s="1"/>
  <c r="C30" i="8"/>
  <c r="H30" i="8" s="1"/>
  <c r="AE8" i="12" s="1"/>
  <c r="C31" i="4"/>
  <c r="H31" i="4" s="1"/>
  <c r="AF7" i="12" s="1"/>
  <c r="C31" i="9"/>
  <c r="H31" i="9" s="1"/>
  <c r="AF9" i="12" s="1"/>
  <c r="C31" i="8"/>
  <c r="H31" i="8" s="1"/>
  <c r="AF8" i="12" s="1"/>
  <c r="C29" i="8"/>
  <c r="H29" i="8" s="1"/>
  <c r="AD8" i="12" s="1"/>
  <c r="C29" i="4"/>
  <c r="H29" i="4" s="1"/>
  <c r="AD7" i="12" s="1"/>
  <c r="C29" i="9"/>
  <c r="H29" i="9" s="1"/>
  <c r="AD9" i="12" s="1"/>
  <c r="J36" i="11"/>
  <c r="L36" i="11" s="1"/>
  <c r="AA36" i="12" s="1"/>
  <c r="C38" i="9"/>
  <c r="H38" i="9" s="1"/>
  <c r="AM9" i="12" s="1"/>
  <c r="C38" i="8"/>
  <c r="H38" i="8" s="1"/>
  <c r="AM8" i="12" s="1"/>
  <c r="C38" i="4"/>
  <c r="H38" i="4" s="1"/>
  <c r="AN7" i="12"/>
  <c r="Q40" i="1" s="1"/>
  <c r="K55" i="4"/>
  <c r="C22" i="8"/>
  <c r="H22" i="8" s="1"/>
  <c r="AK3" i="12" s="1"/>
  <c r="C22" i="9"/>
  <c r="H22" i="9" s="1"/>
  <c r="AK4" i="12" s="1"/>
  <c r="C22" i="4"/>
  <c r="H22" i="4" s="1"/>
  <c r="AK2" i="12" s="1"/>
  <c r="J2" i="11"/>
  <c r="L2" i="11" s="1"/>
  <c r="AA2" i="12" s="1"/>
  <c r="J32" i="11"/>
  <c r="L32" i="11" s="1"/>
  <c r="AA32" i="12" s="1"/>
  <c r="J28" i="11"/>
  <c r="L28" i="11" s="1"/>
  <c r="AA28" i="12" s="1"/>
  <c r="J12" i="11"/>
  <c r="L12" i="11" s="1"/>
  <c r="AA12" i="12" s="1"/>
  <c r="J8" i="11"/>
  <c r="L8" i="11" s="1"/>
  <c r="AA8" i="12" s="1"/>
  <c r="J36" i="10"/>
  <c r="L36" i="10" s="1"/>
  <c r="Z36" i="12" s="1"/>
  <c r="J28" i="10"/>
  <c r="J12" i="10"/>
  <c r="J8" i="10"/>
  <c r="L8" i="10" s="1"/>
  <c r="Z8" i="12" s="1"/>
  <c r="J22" i="11"/>
  <c r="L22" i="11" s="1"/>
  <c r="AA22" i="12" s="1"/>
  <c r="J10" i="11"/>
  <c r="L10" i="11" s="1"/>
  <c r="AA10" i="12" s="1"/>
  <c r="J18" i="10"/>
  <c r="L18" i="10" s="1"/>
  <c r="Z18" i="12" s="1"/>
  <c r="J39" i="11"/>
  <c r="L39" i="11" s="1"/>
  <c r="AA39" i="12" s="1"/>
  <c r="J23" i="11"/>
  <c r="L23" i="11" s="1"/>
  <c r="AA23" i="12" s="1"/>
  <c r="J19" i="11"/>
  <c r="J7" i="11"/>
  <c r="L7" i="11" s="1"/>
  <c r="AA7" i="12" s="1"/>
  <c r="J3" i="11"/>
  <c r="L3" i="11" s="1"/>
  <c r="AA3" i="12" s="1"/>
  <c r="J35" i="10"/>
  <c r="L35" i="10" s="1"/>
  <c r="Z35" i="12" s="1"/>
  <c r="J31" i="10"/>
  <c r="L31" i="10" s="1"/>
  <c r="Z31" i="12" s="1"/>
  <c r="J19" i="10"/>
  <c r="L19" i="10" s="1"/>
  <c r="Z19" i="12" s="1"/>
  <c r="J15" i="10"/>
  <c r="L15" i="10" s="1"/>
  <c r="Z15" i="12" s="1"/>
  <c r="J3" i="10"/>
  <c r="L3" i="10" s="1"/>
  <c r="Z3" i="12" s="1"/>
  <c r="J46" i="11"/>
  <c r="L46" i="11" s="1"/>
  <c r="AA46" i="12" s="1"/>
  <c r="J26" i="11"/>
  <c r="L26" i="11" s="1"/>
  <c r="AA26" i="12" s="1"/>
  <c r="J18" i="11"/>
  <c r="L18" i="11" s="1"/>
  <c r="AA18" i="12" s="1"/>
  <c r="J42" i="10"/>
  <c r="L42" i="10" s="1"/>
  <c r="Z42" i="12" s="1"/>
  <c r="J38" i="10"/>
  <c r="L38" i="10" s="1"/>
  <c r="Z38" i="12" s="1"/>
  <c r="J14" i="10"/>
  <c r="L14" i="10" s="1"/>
  <c r="Z14" i="12" s="1"/>
  <c r="J41" i="11"/>
  <c r="L41" i="11" s="1"/>
  <c r="AA41" i="12" s="1"/>
  <c r="J37" i="10"/>
  <c r="L37" i="10" s="1"/>
  <c r="Z37" i="12" s="1"/>
  <c r="J21" i="10"/>
  <c r="L21" i="10" s="1"/>
  <c r="Z21" i="12" s="1"/>
  <c r="J2" i="10"/>
  <c r="L2" i="10" s="1"/>
  <c r="Z2" i="12" s="1"/>
  <c r="J37" i="11"/>
  <c r="L37" i="11" s="1"/>
  <c r="AA37" i="12" s="1"/>
  <c r="J33" i="10"/>
  <c r="J17" i="10"/>
  <c r="L17" i="10" s="1"/>
  <c r="Z17" i="12" s="1"/>
  <c r="J33" i="11"/>
  <c r="L33" i="11" s="1"/>
  <c r="AA33" i="12" s="1"/>
  <c r="J17" i="11"/>
  <c r="L17" i="11" s="1"/>
  <c r="AA17" i="12" s="1"/>
  <c r="J13" i="10"/>
  <c r="L13" i="10" s="1"/>
  <c r="Z13" i="12" s="1"/>
  <c r="J5" i="10"/>
  <c r="L5" i="10" s="1"/>
  <c r="Z5" i="12" s="1"/>
  <c r="J25" i="10"/>
  <c r="L25" i="10" s="1"/>
  <c r="Z25" i="12" s="1"/>
  <c r="J10" i="10"/>
  <c r="L10" i="10" s="1"/>
  <c r="Z10" i="12" s="1"/>
  <c r="L15" i="1"/>
  <c r="L17" i="1"/>
  <c r="L14" i="1"/>
  <c r="H18" i="9"/>
  <c r="AG4" i="12" s="1"/>
  <c r="H17" i="9"/>
  <c r="AF4" i="12" s="1"/>
  <c r="H19" i="9"/>
  <c r="AH4" i="12" s="1"/>
  <c r="Q15" i="1"/>
  <c r="Q17" i="1" s="1"/>
  <c r="Q16" i="1" s="1"/>
  <c r="J45" i="3"/>
  <c r="J33" i="3"/>
  <c r="J29" i="3"/>
  <c r="J17" i="3"/>
  <c r="J13" i="3"/>
  <c r="J3" i="3"/>
  <c r="J40" i="3"/>
  <c r="J28" i="3"/>
  <c r="J24" i="3"/>
  <c r="J12" i="3"/>
  <c r="J8" i="3"/>
  <c r="J39" i="3"/>
  <c r="J35" i="3"/>
  <c r="J23" i="3"/>
  <c r="J19" i="3"/>
  <c r="J7" i="3"/>
  <c r="M7" i="3" s="1"/>
  <c r="J44" i="3"/>
  <c r="J30" i="3"/>
  <c r="J26" i="3"/>
  <c r="J14" i="3"/>
  <c r="J10" i="3"/>
  <c r="J41" i="3"/>
  <c r="J43" i="3"/>
  <c r="H18" i="4"/>
  <c r="AG2" i="12" s="1"/>
  <c r="H17" i="4"/>
  <c r="AF2" i="12" s="1"/>
  <c r="H19" i="4"/>
  <c r="AH2" i="12" s="1"/>
  <c r="L19" i="11" l="1"/>
  <c r="AA19" i="12" s="1"/>
  <c r="M19" i="11"/>
  <c r="L12" i="10"/>
  <c r="Z12" i="12" s="1"/>
  <c r="M12" i="10"/>
  <c r="M23" i="3"/>
  <c r="N23" i="3"/>
  <c r="L33" i="10"/>
  <c r="Z33" i="12" s="1"/>
  <c r="M33" i="10"/>
  <c r="L28" i="10"/>
  <c r="Z28" i="12" s="1"/>
  <c r="M28" i="10"/>
  <c r="AO2" i="12"/>
  <c r="AO3" i="12"/>
  <c r="AM3" i="12"/>
  <c r="AM2" i="12"/>
  <c r="AO4" i="12"/>
  <c r="AM4" i="12"/>
  <c r="B14" i="1"/>
  <c r="E14" i="1" s="1"/>
  <c r="G46" i="1"/>
  <c r="H50" i="1" s="1"/>
  <c r="N46" i="1"/>
  <c r="F17" i="1"/>
  <c r="K46" i="1"/>
  <c r="K81" i="12" s="1"/>
  <c r="E42" i="1"/>
  <c r="G47" i="1"/>
  <c r="T8" i="13" s="1"/>
  <c r="E41" i="1"/>
  <c r="E40" i="1"/>
  <c r="J2" i="3"/>
  <c r="L2" i="3" s="1"/>
  <c r="Y2" i="12" s="1"/>
  <c r="F23" i="1" s="1"/>
  <c r="J18" i="3"/>
  <c r="L18" i="3" s="1"/>
  <c r="Y18" i="12" s="1"/>
  <c r="J34" i="3"/>
  <c r="L34" i="3" s="1"/>
  <c r="Y34" i="12" s="1"/>
  <c r="J11" i="3"/>
  <c r="L11" i="3" s="1"/>
  <c r="Y11" i="12" s="1"/>
  <c r="J27" i="3"/>
  <c r="L27" i="3" s="1"/>
  <c r="Y27" i="12" s="1"/>
  <c r="J46" i="3"/>
  <c r="L46" i="3" s="1"/>
  <c r="Y46" i="12" s="1"/>
  <c r="J16" i="3"/>
  <c r="L16" i="3" s="1"/>
  <c r="Y16" i="12" s="1"/>
  <c r="J32" i="3"/>
  <c r="L32" i="3" s="1"/>
  <c r="Y32" i="12" s="1"/>
  <c r="J5" i="3"/>
  <c r="J21" i="3"/>
  <c r="L21" i="3" s="1"/>
  <c r="Y21" i="12" s="1"/>
  <c r="J37" i="3"/>
  <c r="L37" i="3" s="1"/>
  <c r="Y37" i="12" s="1"/>
  <c r="J41" i="10"/>
  <c r="L41" i="10" s="1"/>
  <c r="Z41" i="12" s="1"/>
  <c r="J29" i="10"/>
  <c r="J13" i="11"/>
  <c r="L13" i="11" s="1"/>
  <c r="AA13" i="12" s="1"/>
  <c r="J5" i="11"/>
  <c r="L5" i="11" s="1"/>
  <c r="AA5" i="12" s="1"/>
  <c r="J29" i="11"/>
  <c r="L29" i="11" s="1"/>
  <c r="AA29" i="12" s="1"/>
  <c r="J9" i="11"/>
  <c r="L9" i="11" s="1"/>
  <c r="AA9" i="12" s="1"/>
  <c r="J22" i="10"/>
  <c r="L22" i="10" s="1"/>
  <c r="Z22" i="12" s="1"/>
  <c r="J6" i="11"/>
  <c r="L6" i="11" s="1"/>
  <c r="AA6" i="12" s="1"/>
  <c r="J30" i="11"/>
  <c r="L30" i="11" s="1"/>
  <c r="AA30" i="12" s="1"/>
  <c r="J7" i="10"/>
  <c r="L7" i="10" s="1"/>
  <c r="Z7" i="12" s="1"/>
  <c r="J23" i="10"/>
  <c r="J39" i="10"/>
  <c r="L39" i="10" s="1"/>
  <c r="Z39" i="12" s="1"/>
  <c r="J11" i="11"/>
  <c r="L11" i="11" s="1"/>
  <c r="AA11" i="12" s="1"/>
  <c r="J31" i="11"/>
  <c r="L31" i="11" s="1"/>
  <c r="AA31" i="12" s="1"/>
  <c r="J26" i="10"/>
  <c r="L26" i="10" s="1"/>
  <c r="Z26" i="12" s="1"/>
  <c r="J34" i="11"/>
  <c r="J20" i="10"/>
  <c r="L20" i="10" s="1"/>
  <c r="Z20" i="12" s="1"/>
  <c r="J40" i="10"/>
  <c r="J16" i="11"/>
  <c r="L16" i="11" s="1"/>
  <c r="AA16" i="12" s="1"/>
  <c r="J40" i="11"/>
  <c r="L40" i="11" s="1"/>
  <c r="AA40" i="12" s="1"/>
  <c r="J6" i="3"/>
  <c r="L6" i="3" s="1"/>
  <c r="Y6" i="12" s="1"/>
  <c r="J22" i="3"/>
  <c r="L22" i="3" s="1"/>
  <c r="Y22" i="12" s="1"/>
  <c r="J38" i="3"/>
  <c r="L38" i="3" s="1"/>
  <c r="Y38" i="12" s="1"/>
  <c r="J15" i="3"/>
  <c r="L15" i="3" s="1"/>
  <c r="Y15" i="12" s="1"/>
  <c r="J31" i="3"/>
  <c r="L31" i="3" s="1"/>
  <c r="Y31" i="12" s="1"/>
  <c r="J4" i="3"/>
  <c r="J20" i="3"/>
  <c r="J36" i="3"/>
  <c r="L36" i="3" s="1"/>
  <c r="Y36" i="12" s="1"/>
  <c r="J9" i="3"/>
  <c r="L9" i="3" s="1"/>
  <c r="Y9" i="12" s="1"/>
  <c r="J25" i="3"/>
  <c r="J42" i="3"/>
  <c r="L42" i="3" s="1"/>
  <c r="Y42" i="12" s="1"/>
  <c r="J45" i="11"/>
  <c r="L45" i="11" s="1"/>
  <c r="AA45" i="12" s="1"/>
  <c r="J45" i="10"/>
  <c r="L45" i="10" s="1"/>
  <c r="Z45" i="12" s="1"/>
  <c r="J6" i="10"/>
  <c r="L6" i="10" s="1"/>
  <c r="Z6" i="12" s="1"/>
  <c r="J21" i="11"/>
  <c r="J9" i="10"/>
  <c r="L9" i="10" s="1"/>
  <c r="Z9" i="12" s="1"/>
  <c r="J25" i="11"/>
  <c r="J30" i="10"/>
  <c r="L30" i="10" s="1"/>
  <c r="Z30" i="12" s="1"/>
  <c r="J14" i="11"/>
  <c r="L14" i="11" s="1"/>
  <c r="AA14" i="12" s="1"/>
  <c r="J38" i="11"/>
  <c r="L38" i="11" s="1"/>
  <c r="AA38" i="12" s="1"/>
  <c r="J11" i="10"/>
  <c r="L11" i="10" s="1"/>
  <c r="Z11" i="12" s="1"/>
  <c r="J27" i="10"/>
  <c r="L27" i="10" s="1"/>
  <c r="Z27" i="12" s="1"/>
  <c r="J43" i="10"/>
  <c r="L43" i="10" s="1"/>
  <c r="Z43" i="12" s="1"/>
  <c r="J15" i="11"/>
  <c r="J35" i="11"/>
  <c r="L35" i="11" s="1"/>
  <c r="AA35" i="12" s="1"/>
  <c r="J34" i="10"/>
  <c r="J4" i="10"/>
  <c r="J24" i="10"/>
  <c r="J44" i="10"/>
  <c r="L44" i="10" s="1"/>
  <c r="Z44" i="12" s="1"/>
  <c r="J24" i="11"/>
  <c r="L24" i="11" s="1"/>
  <c r="AA24" i="12" s="1"/>
  <c r="J44" i="11"/>
  <c r="L44" i="11" s="1"/>
  <c r="AA44" i="12" s="1"/>
  <c r="J27" i="11"/>
  <c r="J43" i="11"/>
  <c r="L43" i="11" s="1"/>
  <c r="AA43" i="12" s="1"/>
  <c r="J46" i="10"/>
  <c r="L46" i="10" s="1"/>
  <c r="Z46" i="12" s="1"/>
  <c r="J42" i="11"/>
  <c r="L42" i="11" s="1"/>
  <c r="AA42" i="12" s="1"/>
  <c r="J16" i="10"/>
  <c r="L16" i="10" s="1"/>
  <c r="Z16" i="12" s="1"/>
  <c r="J32" i="10"/>
  <c r="L32" i="10" s="1"/>
  <c r="Z32" i="12" s="1"/>
  <c r="J4" i="11"/>
  <c r="J20" i="11"/>
  <c r="AI7" i="12"/>
  <c r="N41" i="1" s="1"/>
  <c r="AJ7" i="12"/>
  <c r="N42" i="1" s="1"/>
  <c r="AG7" i="12"/>
  <c r="J41" i="1" s="1"/>
  <c r="AH7" i="12"/>
  <c r="J42" i="1" s="1"/>
  <c r="AM7" i="12"/>
  <c r="Q41" i="1" s="1"/>
  <c r="K59" i="4"/>
  <c r="F18" i="1" s="1"/>
  <c r="L43" i="3"/>
  <c r="Y43" i="12" s="1"/>
  <c r="L10" i="3"/>
  <c r="Y10" i="12" s="1"/>
  <c r="L26" i="3"/>
  <c r="Y26" i="12" s="1"/>
  <c r="L44" i="3"/>
  <c r="Y44" i="12" s="1"/>
  <c r="L19" i="3"/>
  <c r="Y19" i="12" s="1"/>
  <c r="L35" i="3"/>
  <c r="Y35" i="12" s="1"/>
  <c r="L8" i="3"/>
  <c r="Y8" i="12" s="1"/>
  <c r="L24" i="3"/>
  <c r="Y24" i="12" s="1"/>
  <c r="L40" i="3"/>
  <c r="Y40" i="12" s="1"/>
  <c r="L13" i="3"/>
  <c r="Y13" i="12" s="1"/>
  <c r="L29" i="3"/>
  <c r="Y29" i="12" s="1"/>
  <c r="L45" i="3"/>
  <c r="Y45" i="12" s="1"/>
  <c r="L41" i="3"/>
  <c r="Y41" i="12" s="1"/>
  <c r="L14" i="3"/>
  <c r="Y14" i="12" s="1"/>
  <c r="L30" i="3"/>
  <c r="Y30" i="12" s="1"/>
  <c r="L7" i="3"/>
  <c r="Y7" i="12" s="1"/>
  <c r="L23" i="3"/>
  <c r="Y23" i="12" s="1"/>
  <c r="L39" i="3"/>
  <c r="Y39" i="12" s="1"/>
  <c r="L12" i="3"/>
  <c r="Y12" i="12" s="1"/>
  <c r="L28" i="3"/>
  <c r="Y28" i="12" s="1"/>
  <c r="L3" i="3"/>
  <c r="Y3" i="12" s="1"/>
  <c r="L17" i="3"/>
  <c r="Y17" i="12" s="1"/>
  <c r="L33" i="3"/>
  <c r="Y33" i="12" s="1"/>
  <c r="Q14" i="1"/>
  <c r="L23" i="10" l="1"/>
  <c r="Z23" i="12" s="1"/>
  <c r="M23" i="10"/>
  <c r="L40" i="10"/>
  <c r="Z40" i="12" s="1"/>
  <c r="M40" i="10"/>
  <c r="L34" i="11"/>
  <c r="AA34" i="12" s="1"/>
  <c r="M34" i="11"/>
  <c r="K51" i="1"/>
  <c r="K50" i="1"/>
  <c r="I24" i="12"/>
  <c r="A59" i="1" s="1"/>
  <c r="L20" i="3"/>
  <c r="Y20" i="12" s="1"/>
  <c r="M20" i="3"/>
  <c r="L25" i="3"/>
  <c r="Y25" i="12" s="1"/>
  <c r="M25" i="3"/>
  <c r="L25" i="11"/>
  <c r="AA25" i="12" s="1"/>
  <c r="M25" i="11"/>
  <c r="L27" i="11"/>
  <c r="AA27" i="12" s="1"/>
  <c r="M27" i="11"/>
  <c r="L21" i="11"/>
  <c r="AA21" i="12" s="1"/>
  <c r="M21" i="11"/>
  <c r="L15" i="11"/>
  <c r="AA15" i="12" s="1"/>
  <c r="F36" i="1" s="1"/>
  <c r="M15" i="11"/>
  <c r="L20" i="11"/>
  <c r="AA20" i="12" s="1"/>
  <c r="M20" i="11"/>
  <c r="N45" i="1"/>
  <c r="D43" i="12"/>
  <c r="L56" i="12" s="1"/>
  <c r="E21" i="12" s="1"/>
  <c r="L34" i="10"/>
  <c r="Z34" i="12" s="1"/>
  <c r="M34" i="10"/>
  <c r="N34" i="10"/>
  <c r="L29" i="10"/>
  <c r="Z29" i="12" s="1"/>
  <c r="M29" i="10"/>
  <c r="L24" i="10"/>
  <c r="Z24" i="12" s="1"/>
  <c r="M24" i="10"/>
  <c r="L5" i="3"/>
  <c r="Y5" i="12" s="1"/>
  <c r="M5" i="3"/>
  <c r="L4" i="11"/>
  <c r="AA4" i="12" s="1"/>
  <c r="M4" i="11"/>
  <c r="L4" i="3"/>
  <c r="Y4" i="12" s="1"/>
  <c r="M4" i="3"/>
  <c r="L4" i="10"/>
  <c r="Z4" i="12" s="1"/>
  <c r="M4" i="10"/>
  <c r="H51" i="1"/>
  <c r="T17" i="13"/>
  <c r="T15" i="13"/>
  <c r="T6" i="13"/>
  <c r="T24" i="13"/>
  <c r="T20" i="13"/>
  <c r="T21" i="13"/>
  <c r="T18" i="13"/>
  <c r="T11" i="13"/>
  <c r="T3" i="13"/>
  <c r="T19" i="13"/>
  <c r="T10" i="13"/>
  <c r="T13" i="13"/>
  <c r="T5" i="13"/>
  <c r="T25" i="13"/>
  <c r="T14" i="13"/>
  <c r="T23" i="13"/>
  <c r="T22" i="13"/>
  <c r="T7" i="13"/>
  <c r="T16" i="13"/>
  <c r="T4" i="13"/>
  <c r="T9" i="13"/>
  <c r="T12" i="13"/>
  <c r="M2" i="3"/>
  <c r="N2" i="3"/>
  <c r="L27" i="1"/>
  <c r="Q34" i="1"/>
  <c r="L34" i="1"/>
  <c r="Q35" i="1"/>
  <c r="L37" i="1"/>
  <c r="F27" i="1"/>
  <c r="F29" i="1"/>
  <c r="Q33" i="1"/>
  <c r="Q29" i="1"/>
  <c r="Q37" i="1"/>
  <c r="Q32" i="1"/>
  <c r="Q28" i="1"/>
  <c r="L23" i="1"/>
  <c r="Q25" i="1" l="1"/>
  <c r="L70" i="12"/>
  <c r="E23" i="12" s="1"/>
  <c r="L63" i="12"/>
  <c r="E22" i="12" s="1"/>
  <c r="O50" i="1"/>
  <c r="O51" i="1"/>
  <c r="F30" i="1"/>
  <c r="Q24" i="1"/>
  <c r="L28" i="1"/>
  <c r="F35" i="1"/>
  <c r="L36" i="1"/>
  <c r="Q23" i="1"/>
  <c r="F33" i="1"/>
  <c r="F34" i="1"/>
  <c r="Q27" i="1"/>
  <c r="F24" i="1"/>
  <c r="L35" i="1"/>
  <c r="F32" i="1"/>
  <c r="L30" i="1"/>
  <c r="F25" i="1"/>
  <c r="Q31" i="1"/>
  <c r="L26" i="1"/>
  <c r="F37" i="1"/>
  <c r="Q36" i="1"/>
  <c r="L33" i="1"/>
  <c r="L31" i="1"/>
  <c r="L29" i="1"/>
  <c r="Q26" i="1"/>
  <c r="F31" i="1"/>
  <c r="Q30" i="1"/>
  <c r="L25" i="1"/>
  <c r="L32" i="1"/>
  <c r="F28" i="1"/>
  <c r="F26" i="1"/>
  <c r="L24" i="1"/>
  <c r="A55" i="1" l="1"/>
</calcChain>
</file>

<file path=xl/sharedStrings.xml><?xml version="1.0" encoding="utf-8"?>
<sst xmlns="http://schemas.openxmlformats.org/spreadsheetml/2006/main" count="858" uniqueCount="407">
  <si>
    <t>Attributes</t>
  </si>
  <si>
    <t>I.Q.</t>
  </si>
  <si>
    <t>M.E.</t>
  </si>
  <si>
    <t>M.A.</t>
  </si>
  <si>
    <t>P.S.</t>
  </si>
  <si>
    <t>P.P.</t>
  </si>
  <si>
    <t>P.E.</t>
  </si>
  <si>
    <t>P.B.</t>
  </si>
  <si>
    <t>Spd.</t>
  </si>
  <si>
    <t>Lift</t>
  </si>
  <si>
    <t>Carry</t>
  </si>
  <si>
    <t>Derived Values</t>
  </si>
  <si>
    <t>Level</t>
  </si>
  <si>
    <t>Name</t>
  </si>
  <si>
    <t>Race</t>
  </si>
  <si>
    <t>O.C.C.</t>
  </si>
  <si>
    <t>Alignment</t>
  </si>
  <si>
    <t>Age</t>
  </si>
  <si>
    <t>Gender</t>
  </si>
  <si>
    <t>Social Background</t>
  </si>
  <si>
    <t>Land of Origin</t>
  </si>
  <si>
    <t>Height</t>
  </si>
  <si>
    <t>Weight</t>
  </si>
  <si>
    <t>Skills</t>
  </si>
  <si>
    <t>Skill Name</t>
  </si>
  <si>
    <t>%</t>
  </si>
  <si>
    <t>Run, yards per minute</t>
  </si>
  <si>
    <t>Run, yards per melee</t>
  </si>
  <si>
    <t>Run, feet per second</t>
  </si>
  <si>
    <t>Run, miles per hour</t>
  </si>
  <si>
    <t>-- height (with a running start)</t>
  </si>
  <si>
    <t>Jump, length in feet (standing)</t>
  </si>
  <si>
    <t>Jump, height in feet (standing)</t>
  </si>
  <si>
    <t>-- length (with a running start)</t>
  </si>
  <si>
    <t>Throw (in feet), up to 1 lb.</t>
  </si>
  <si>
    <t>Throw (in feet), up to 10 lbs.</t>
  </si>
  <si>
    <t>Throw (in feet), max carry</t>
  </si>
  <si>
    <t>lbs.</t>
  </si>
  <si>
    <t>Insanity, if any</t>
  </si>
  <si>
    <t>Charm/Impress</t>
  </si>
  <si>
    <t>Patron Diety</t>
  </si>
  <si>
    <t>Trust/Intimidate</t>
  </si>
  <si>
    <t>Disposition</t>
  </si>
  <si>
    <t>Type of Environment</t>
  </si>
  <si>
    <t>Character Description &amp; Background</t>
  </si>
  <si>
    <t>Per Level</t>
  </si>
  <si>
    <t>Base</t>
  </si>
  <si>
    <t>Other</t>
  </si>
  <si>
    <t>Total</t>
  </si>
  <si>
    <t>Strike</t>
  </si>
  <si>
    <t>Parry</t>
  </si>
  <si>
    <t>Combat</t>
  </si>
  <si>
    <t>Attacks Per Melee</t>
  </si>
  <si>
    <t>Initiative</t>
  </si>
  <si>
    <t>Dodge</t>
  </si>
  <si>
    <t>Hit Points</t>
  </si>
  <si>
    <t>S.D.C.</t>
  </si>
  <si>
    <t>Roll w/ Punch</t>
  </si>
  <si>
    <t>Pull Punch</t>
  </si>
  <si>
    <t>Knockout/Stun</t>
  </si>
  <si>
    <t>Attribute</t>
  </si>
  <si>
    <t>Number Rolled</t>
  </si>
  <si>
    <t>O.C.C. 
Bonus</t>
  </si>
  <si>
    <t>Skill Bonus</t>
  </si>
  <si>
    <t>Racial Bonus</t>
  </si>
  <si>
    <t>Other Bonus</t>
  </si>
  <si>
    <t>Final Number</t>
  </si>
  <si>
    <t>Bonuses</t>
  </si>
  <si>
    <t>Psionic</t>
  </si>
  <si>
    <t>Insanity</t>
  </si>
  <si>
    <t>Hand to Hand: Damage</t>
  </si>
  <si>
    <t>Strike, Parry, &amp; Dodge</t>
  </si>
  <si>
    <t>No bonuses</t>
  </si>
  <si>
    <t>Coma/Death</t>
  </si>
  <si>
    <t>Magic/Poison</t>
  </si>
  <si>
    <t>Hand to Hand:</t>
  </si>
  <si>
    <t>Deathblow</t>
  </si>
  <si>
    <t>Hair Color</t>
  </si>
  <si>
    <t>Eye Color</t>
  </si>
  <si>
    <t>Damage Bonus</t>
  </si>
  <si>
    <t>P.P.E.</t>
  </si>
  <si>
    <t>Max Carry (in minutes), light</t>
  </si>
  <si>
    <t>-- max carry, heavy exertion</t>
  </si>
  <si>
    <t>Max speed, distance in miles</t>
  </si>
  <si>
    <t>1/2 Speed, distance in miles</t>
  </si>
  <si>
    <t>Roll with Punch</t>
  </si>
  <si>
    <t>Attacks</t>
  </si>
  <si>
    <t>Stat Bonus</t>
  </si>
  <si>
    <t>O.C.C. Bonus</t>
  </si>
  <si>
    <t>HtH Bonus</t>
  </si>
  <si>
    <t>Total Bonus</t>
  </si>
  <si>
    <t>Critical Range</t>
  </si>
  <si>
    <t>Save vs.</t>
  </si>
  <si>
    <t>Combat Stat</t>
  </si>
  <si>
    <t>Magic</t>
  </si>
  <si>
    <t>Psionics</t>
  </si>
  <si>
    <t>Horror Factor</t>
  </si>
  <si>
    <t>Disease</t>
  </si>
  <si>
    <t>Illusions</t>
  </si>
  <si>
    <t>Possession</t>
  </si>
  <si>
    <t>Mind Control*</t>
  </si>
  <si>
    <t>Faerie Magic*</t>
  </si>
  <si>
    <t>HF (Elemetals)*</t>
  </si>
  <si>
    <t>Poison/Drugs</t>
  </si>
  <si>
    <t>Saving Throws</t>
  </si>
  <si>
    <t>Note: Some saves (such as Mind Control or Faerie Magic) are specialized, and marked with a * symbol. So a Mind Control attempt might be made using Drugs (or through Magic). In these cases, add BOTH bonuses together. So while Faerie Magic is a type of Magic (add both together), it will not help against Invocation or Circle Magic (Save vs. Magic only).</t>
  </si>
  <si>
    <t>Poison/Drugs/Toxins</t>
  </si>
  <si>
    <t>Disease*</t>
  </si>
  <si>
    <t>Horror Factor (HF)</t>
  </si>
  <si>
    <t>HF, Elemental Beings</t>
  </si>
  <si>
    <t>Armor</t>
  </si>
  <si>
    <t>Type</t>
  </si>
  <si>
    <t>Damage</t>
  </si>
  <si>
    <t>A.R.</t>
  </si>
  <si>
    <t>Encumberance</t>
  </si>
  <si>
    <t>Primary Combat Equipment (Quick Reference)</t>
  </si>
  <si>
    <t>Notes</t>
  </si>
  <si>
    <t>H.F.</t>
  </si>
  <si>
    <t>Birth Order</t>
  </si>
  <si>
    <t>+</t>
  </si>
  <si>
    <t>Cell Symbols</t>
  </si>
  <si>
    <t>Plus sign</t>
  </si>
  <si>
    <t>Percentile sign</t>
  </si>
  <si>
    <t>2nd % Base</t>
  </si>
  <si>
    <t>2nd % Total</t>
  </si>
  <si>
    <t>3rd % Base</t>
  </si>
  <si>
    <t>3rd % Total</t>
  </si>
  <si>
    <t>Weight sign</t>
  </si>
  <si>
    <t>Other Bonuses</t>
  </si>
  <si>
    <t>5. The "Throw" values use the "Optional" rules in the Palladium Fantasy Second Edition main book, on page 17. Though these are "Optional," I felt it helps make each character more varied in capabilities.</t>
  </si>
  <si>
    <t>6. The "Jump" values use the rules from Heroes Unlimited G.M.'s Guide, on pages 56-57 as part of the "Rampage" rules. These rules, as written, do not apply to normal characters, especially when NOT rampaging wild. However, the values seemed reasonable and, again, I felt this gave each character a greater degree of variety in their capabilities. These are not Palladium Fantasy rules, as I have not found any Palladium Fantasy rules for Jumping.</t>
  </si>
  <si>
    <t>3. "Max carry" (in minutes) for Light Activity and Heavy Exertion are taken from Palladium Fantasy First Edition, on page 8. Fatigue rules for P.E. over 30 from Rifts Ultimate Edition are also factored in.</t>
  </si>
  <si>
    <t>4. Distance for running for Max/Full Speed and 1/2 Speed (Cruising) are taken from Rifts Ultimate Edition, on page 317 under the "Running" skill.  Fatigue rules for P.E. over 30 from Rifts Ultimate Edition are also factored in.</t>
  </si>
  <si>
    <t>2. The "Character Description &amp; Background" has many optional fields. These are designed to help new players flesh out their characters. Most of them are taken from the Palladium Fantasy Second Edition main book "Character Background" section starting on page 32. Though many of those options often have a sentence description, usually a single word or two will convey the  concept on a character sheet (due to space concerns).</t>
  </si>
  <si>
    <t>P.S. over 30</t>
  </si>
  <si>
    <t>Strength Type</t>
  </si>
  <si>
    <t>Supernatural</t>
  </si>
  <si>
    <t>Normal</t>
  </si>
  <si>
    <t>Giant</t>
  </si>
  <si>
    <t>Throw, 1 lb.</t>
  </si>
  <si>
    <t>Throw, 10 lbs.</t>
  </si>
  <si>
    <t>Throw, Max</t>
  </si>
  <si>
    <t>8. Supernatural Strength 17 and less limits are derived from Rifts Ultimate Edition, on page 286. Palladium Fantasy Second Edition main book, on page 17, mentions Supernatural with a P.S. of 17 or lower is equal to human carry (x10). This means a Superantural P.S. of 17 (x10) is weaker than a human P.S. of 17 (x20). Lower than that, they're only equal to a human. I find the Rifts Ultimate Edition note of Supernatural Strength equal to strong humans (x20) much more sensible with the concept of a Supernaturally strong character.</t>
  </si>
  <si>
    <t>7. The "Giant" Strength category is due to a reference in the Throwing ranges of the Palladium Fantasy Second Edition main book, on page 17. Giants (without Supernatural Strength) are equal to humans with Extraordinary Strength (20 or higher, for throwing) with a greater throwing range. I can find no other advantage to "Giant" strength.</t>
  </si>
  <si>
    <t>I.S.P.</t>
  </si>
  <si>
    <t>Instructions</t>
  </si>
  <si>
    <t>For those familiar with Excel, this section may not be necessary. However, I wanted to make a quick walkthrough of the Character Sheet for those who may not be as familiar or feel overwhelmed by all the worksheets.</t>
  </si>
  <si>
    <t>1. Attribute bonuses above 30 are taken from Rifts Ultimate Edition, on page 284. Some of these bonuses could not be properly included on this sheet (such as a high M.A. providing bonuses to very specific skills).  These bonuses affect multiple cells. I also had to make a decision about the text regarding lifting/carrying 30% more for every 5 points over P.S. of 30. I had two interpretations, additive or exponential. As an example, P.S. 45 would receive the 30% bonus 3 times. I could either add 90% (30+30+30), or apply the 30% bonus three separate times (which would be 30^3). I decided on additive (90%, in the previous example).</t>
  </si>
  <si>
    <t>I.Q. Bonus</t>
  </si>
  <si>
    <t>Level Selected</t>
  </si>
  <si>
    <r>
      <rPr>
        <b/>
        <sz val="11"/>
        <color theme="1"/>
        <rFont val="Calibri"/>
        <family val="2"/>
        <scheme val="minor"/>
      </rPr>
      <t>6. Editor's Notes.</t>
    </r>
    <r>
      <rPr>
        <sz val="11"/>
        <color theme="1"/>
        <rFont val="Calibri"/>
        <family val="2"/>
        <scheme val="minor"/>
      </rPr>
      <t xml:space="preserve"> In addition to these instructions, I tried to include notes about which Palladium resources I used and why I made some of the decisions I did. While I tried to stay true to the Palladium Fantasy setting, I sometimes used other resources or had to make a judgement call. This should help you understand why.</t>
    </r>
  </si>
  <si>
    <t>Hostilities, if any</t>
  </si>
  <si>
    <t>Palladium Fantasy NPC Sheet</t>
  </si>
  <si>
    <t>Class 1</t>
  </si>
  <si>
    <t>Class 2</t>
  </si>
  <si>
    <t>Class 3</t>
  </si>
  <si>
    <t>Stat</t>
  </si>
  <si>
    <t>Type 1</t>
  </si>
  <si>
    <t>Type 2</t>
  </si>
  <si>
    <t>Type 3</t>
  </si>
  <si>
    <t>Type 4</t>
  </si>
  <si>
    <t>Ability Type</t>
  </si>
  <si>
    <t>Roll</t>
  </si>
  <si>
    <t>Pull</t>
  </si>
  <si>
    <t>Critical</t>
  </si>
  <si>
    <t>Knockout</t>
  </si>
  <si>
    <t>Hand to Hand</t>
  </si>
  <si>
    <t>Type 5</t>
  </si>
  <si>
    <t>Type 6</t>
  </si>
  <si>
    <t>Type 7</t>
  </si>
  <si>
    <t>Minor Psionic (Healing)</t>
  </si>
  <si>
    <t>Minor Psionic (Sensitive)</t>
  </si>
  <si>
    <t>Minor Psionic (Physical)</t>
  </si>
  <si>
    <t>No Special Abilities</t>
  </si>
  <si>
    <t>Description Lookup</t>
  </si>
  <si>
    <t>Basic</t>
  </si>
  <si>
    <t>Expert</t>
  </si>
  <si>
    <t>Martial Arts</t>
  </si>
  <si>
    <t>Assassin</t>
  </si>
  <si>
    <t>None</t>
  </si>
  <si>
    <t>HtH / Level</t>
  </si>
  <si>
    <t>18-20</t>
  </si>
  <si>
    <t>17-20</t>
  </si>
  <si>
    <t>19-20</t>
  </si>
  <si>
    <t>Main</t>
  </si>
  <si>
    <t>Alternate</t>
  </si>
  <si>
    <t>Main Weapon</t>
  </si>
  <si>
    <t>Secondary/Alt.</t>
  </si>
  <si>
    <t>Weapon</t>
  </si>
  <si>
    <t>W.P.</t>
  </si>
  <si>
    <t>Archery</t>
  </si>
  <si>
    <t>Blunt</t>
  </si>
  <si>
    <t>Chain</t>
  </si>
  <si>
    <t>Forked Weapons/Trident</t>
  </si>
  <si>
    <t>Grappling Hook</t>
  </si>
  <si>
    <t>Knife</t>
  </si>
  <si>
    <t>Mouth Weapons/Blowguns</t>
  </si>
  <si>
    <t>Net</t>
  </si>
  <si>
    <t>Paired Weapons</t>
  </si>
  <si>
    <t>Pole Arm</t>
  </si>
  <si>
    <t>Battle Axe</t>
  </si>
  <si>
    <t>Shield</t>
  </si>
  <si>
    <t>Siege Weapons</t>
  </si>
  <si>
    <t>Spear</t>
  </si>
  <si>
    <t>Staff</t>
  </si>
  <si>
    <t>Sword</t>
  </si>
  <si>
    <t>Targeting/Missile Weapons</t>
  </si>
  <si>
    <t>Whip</t>
  </si>
  <si>
    <t>W.P./Level</t>
  </si>
  <si>
    <t>Thrown</t>
  </si>
  <si>
    <t>Entangle</t>
  </si>
  <si>
    <t>Modifier</t>
  </si>
  <si>
    <t>Range</t>
  </si>
  <si>
    <t>ROF</t>
  </si>
  <si>
    <t>Penalties</t>
  </si>
  <si>
    <t>Chain Mail, half</t>
  </si>
  <si>
    <t>Double Mail, half</t>
  </si>
  <si>
    <t>Scale, half</t>
  </si>
  <si>
    <t>Splint, half</t>
  </si>
  <si>
    <t>Plate, half</t>
  </si>
  <si>
    <t>-10% prowl, climb, &amp; swim</t>
  </si>
  <si>
    <t>-5% prowl, climb, &amp; swim</t>
  </si>
  <si>
    <t>Short Bow</t>
  </si>
  <si>
    <t>Mace</t>
  </si>
  <si>
    <t>Hercules Club</t>
  </si>
  <si>
    <t>Flail</t>
  </si>
  <si>
    <t>Mace and Chain</t>
  </si>
  <si>
    <t>Trident</t>
  </si>
  <si>
    <t>Dagger</t>
  </si>
  <si>
    <t>Glaive</t>
  </si>
  <si>
    <t>Scythe</t>
  </si>
  <si>
    <t>Voulge</t>
  </si>
  <si>
    <t>Small Shield</t>
  </si>
  <si>
    <t>Short Spear</t>
  </si>
  <si>
    <t>Long Spear</t>
  </si>
  <si>
    <t>Lance</t>
  </si>
  <si>
    <t>Short Staff</t>
  </si>
  <si>
    <t>Bo Staff</t>
  </si>
  <si>
    <t>Long Sword</t>
  </si>
  <si>
    <t>Claymore</t>
  </si>
  <si>
    <t>Sling</t>
  </si>
  <si>
    <t>Bull Whip</t>
  </si>
  <si>
    <t>Heavy Crossbow</t>
  </si>
  <si>
    <t>Base Dam.</t>
  </si>
  <si>
    <t>Bonus</t>
  </si>
  <si>
    <t>Misc.</t>
  </si>
  <si>
    <t>Racial</t>
  </si>
  <si>
    <t>-15%prowl,-20%climb&amp;swim</t>
  </si>
  <si>
    <t>Mod Total</t>
  </si>
  <si>
    <t>Dam Total</t>
  </si>
  <si>
    <t>W.P. Mod</t>
  </si>
  <si>
    <t>Coma</t>
  </si>
  <si>
    <t>Faerie Mag.</t>
  </si>
  <si>
    <t>Poison</t>
  </si>
  <si>
    <t>HF</t>
  </si>
  <si>
    <t>HF: Elements</t>
  </si>
  <si>
    <t>Mind Control</t>
  </si>
  <si>
    <t>Cloth</t>
  </si>
  <si>
    <t>Padded</t>
  </si>
  <si>
    <t>Soft Leather</t>
  </si>
  <si>
    <t>Hard Leather</t>
  </si>
  <si>
    <t>Studded Leather</t>
  </si>
  <si>
    <t>Chain Mail</t>
  </si>
  <si>
    <t>Double Mail</t>
  </si>
  <si>
    <t>Scale</t>
  </si>
  <si>
    <t>Splint</t>
  </si>
  <si>
    <t>Plate</t>
  </si>
  <si>
    <t>Plate &amp; Chain</t>
  </si>
  <si>
    <r>
      <rPr>
        <b/>
        <sz val="11"/>
        <color theme="1"/>
        <rFont val="Calibri"/>
        <family val="2"/>
        <scheme val="minor"/>
      </rPr>
      <t>Note 1:</t>
    </r>
    <r>
      <rPr>
        <sz val="11"/>
        <color theme="1"/>
        <rFont val="Calibri"/>
        <family val="2"/>
        <scheme val="minor"/>
      </rPr>
      <t xml:space="preserve"> If you want to make further adjustments, I do not recommend making them on this sheet (or even on the NPC Sheet). I strongly urge you to proceed to the next step and further. Changing values beyond the dropdown menus will risk overwriting many of the formula this NPC Sheet relies upon.</t>
    </r>
  </si>
  <si>
    <r>
      <rPr>
        <b/>
        <sz val="11"/>
        <color theme="1"/>
        <rFont val="Calibri"/>
        <family val="2"/>
        <scheme val="minor"/>
      </rPr>
      <t>3. C1-WT &amp; C1-SWT.</t>
    </r>
    <r>
      <rPr>
        <sz val="11"/>
        <color theme="1"/>
        <rFont val="Calibri"/>
        <family val="2"/>
        <scheme val="minor"/>
      </rPr>
      <t xml:space="preserve"> These are the two sheets linked to the "Class 1" (the first O.C.C. in the dropdown menu). See below for Class #2 and #3 (second and third O.C.C. in the dropdown menu). If you truly want to further customize the character by adjusting Attributes, Hit Points, or another stat, then you'll need to find your way here. "WT" stands for "Worktable" and "SWT" stands for "Skill Worktable." If you want to adjust the character's skills, go to "SWT". If you want to adjust anything else on the character, then go to "WT." I tried to make everything else as easily identifiable as possible.</t>
    </r>
  </si>
  <si>
    <r>
      <rPr>
        <b/>
        <sz val="11"/>
        <color theme="1"/>
        <rFont val="Calibri"/>
        <family val="2"/>
        <scheme val="minor"/>
      </rPr>
      <t>Note 1:</t>
    </r>
    <r>
      <rPr>
        <sz val="11"/>
        <color theme="1"/>
        <rFont val="Calibri"/>
        <family val="2"/>
        <scheme val="minor"/>
      </rPr>
      <t xml:space="preserve"> This shouldn't be needed for a quick NPC. However, if you really want to make a more unique NPC or make it your own, have fun. If for some reason you ruin the functionality and don't know how to undo it, then download a new copy from my site: http://www.prysus.com/site_downloads.htm</t>
    </r>
  </si>
  <si>
    <r>
      <rPr>
        <b/>
        <sz val="11"/>
        <color theme="0"/>
        <rFont val="Calibri"/>
        <family val="2"/>
        <scheme val="minor"/>
      </rPr>
      <t>4. C2-WT &amp; C2-SWT.</t>
    </r>
    <r>
      <rPr>
        <sz val="11"/>
        <color theme="0"/>
        <rFont val="Calibri"/>
        <family val="2"/>
        <scheme val="minor"/>
      </rPr>
      <t xml:space="preserve"> These are the two sheets linked to the "Class 2" (the second O.C.C. in the dropdown menu). Everything else should be the same as the instructions in "C1-WT &amp; C1-SWT".</t>
    </r>
  </si>
  <si>
    <r>
      <rPr>
        <b/>
        <sz val="11"/>
        <color theme="0"/>
        <rFont val="Calibri"/>
        <family val="2"/>
        <scheme val="minor"/>
      </rPr>
      <t>5. C3-WT &amp; C3-SWT.</t>
    </r>
    <r>
      <rPr>
        <sz val="11"/>
        <color theme="0"/>
        <rFont val="Calibri"/>
        <family val="2"/>
        <scheme val="minor"/>
      </rPr>
      <t xml:space="preserve"> These are the two sheets linked to the "Class 3" (the third/last O.C.C. in the dropdown menu). Everything else should be the same as the instructions in "C1-WT &amp; C1-SWT".</t>
    </r>
  </si>
  <si>
    <r>
      <rPr>
        <b/>
        <sz val="11"/>
        <color theme="1"/>
        <rFont val="Calibri"/>
        <family val="2"/>
        <scheme val="minor"/>
      </rPr>
      <t>Note 1:</t>
    </r>
    <r>
      <rPr>
        <sz val="11"/>
        <color theme="1"/>
        <rFont val="Calibri"/>
        <family val="2"/>
        <scheme val="minor"/>
      </rPr>
      <t xml:space="preserve"> The sheets detailed above have many cells locked to prevent accidental changes. If you feel you know what you're doing and want to make changes to these sheets, you may unlock those sheets with the password: PF2</t>
    </r>
  </si>
  <si>
    <t>Hand to Hand Upgrade</t>
  </si>
  <si>
    <t>1 Skill</t>
  </si>
  <si>
    <t>2 Skills</t>
  </si>
  <si>
    <t>3 Skills</t>
  </si>
  <si>
    <t>4 Skills</t>
  </si>
  <si>
    <t>Hand to Hand Upgrade Cost</t>
  </si>
  <si>
    <t>Hand to Hand Skill</t>
  </si>
  <si>
    <t>General Character Creation Notes</t>
  </si>
  <si>
    <t>NPC Specific Creation Notes</t>
  </si>
  <si>
    <t>2. Attacks per Melee in Palladium were originally only 2 per the Hand to Hand table. After a point, this changed to 4 from Hand to Hand. This is found in the Rifts setting, and newer NPC in the Palladium Fantasy setting. As far as I'm aware, this is now considered official for Palladium Fantasy. As such, the NPC are created with this in mind. If you do not like this rule and want to stick with only 2 attacks, then go over to the "WT" (Work Table) sheets and enter "-2" into one of the "Attacks" fields of the combat stats.</t>
  </si>
  <si>
    <t>1. I had a decision to make regarding S.D.C. I could apply the Step 2 of Character Creation S.D.C. bonus to all races, or only Humans. I believe the matter is open to interpretation, and NPC from the official material suggest both methods have been used. As a judgment call, I decided to NOT apply the Step 2 bonus to non-humans (Elves, Goblins, Trolls, etc.). I feel this is the intent, as well as fits the pattern of the other game lines. If you disagree, you may go to the "WT" (Work Table) sheets and add the S.D.C. bonus as an O.C.C. bonus. For Men at Arms O.C.C. I recommend "10," and for every other type of O.C.C. I recommend "3."</t>
  </si>
  <si>
    <t>Soldier</t>
  </si>
  <si>
    <t>Nightvision 90 ft (27.4 m).</t>
  </si>
  <si>
    <t>Nightvision 90ft (27.4 m).</t>
  </si>
  <si>
    <t>3'6"</t>
  </si>
  <si>
    <t>N/A</t>
  </si>
  <si>
    <t>Climb/Scale Walls</t>
  </si>
  <si>
    <t>Forced March</t>
  </si>
  <si>
    <t>Body Building &amp; Weight Lifting</t>
  </si>
  <si>
    <t>Language: (one of choice)</t>
  </si>
  <si>
    <t>Underground Tunneling</t>
  </si>
  <si>
    <t>Underground Architecture</t>
  </si>
  <si>
    <t>Underground Sense of Direction</t>
  </si>
  <si>
    <t>Military Etiquette</t>
  </si>
  <si>
    <t>W.P. Shield</t>
  </si>
  <si>
    <t>Detect Ambush</t>
  </si>
  <si>
    <t>Detect Concealment &amp; Traps</t>
  </si>
  <si>
    <t>Camouflage</t>
  </si>
  <si>
    <t>Field Armorer</t>
  </si>
  <si>
    <t>Surveillance</t>
  </si>
  <si>
    <t>Land Navigation</t>
  </si>
  <si>
    <t>Formula: =IF(VLOOKUP(hth_occ1, hth1_cost, 3, FALSE)="", "[Skill Name]", VLOOKUP(hth_occ1, hth1_cost, 3, FALSE))</t>
  </si>
  <si>
    <t>Formula: =IF(VLOOKUP(hth_occ2, hth2_cost, 3, FALSE)="", "[Skill Name]", VLOOKUP(hth_occ2, hth2_cost, 3, FALSE))</t>
  </si>
  <si>
    <t>Formula: =IF(VLOOKUP(hth_occ3, hth3_cost, 3, FALSE)="", "[Skill Name]", VLOOKUP(hth_occ3, hth3_cost, 3, FALSE))</t>
  </si>
  <si>
    <t>First Aid</t>
  </si>
  <si>
    <t>Boxing</t>
  </si>
  <si>
    <t>Recognize Weapon Quality</t>
  </si>
  <si>
    <t>Swimming</t>
  </si>
  <si>
    <t>Wilderness Survival</t>
  </si>
  <si>
    <t>Mathematics: Basic</t>
  </si>
  <si>
    <t>Interrogation Techniques</t>
  </si>
  <si>
    <t>Rope Works</t>
  </si>
  <si>
    <t>Pick Locks</t>
  </si>
  <si>
    <t>Languages: (one of choice)</t>
  </si>
  <si>
    <t>Prowl</t>
  </si>
  <si>
    <t>Juggling</t>
  </si>
  <si>
    <t>Lore: Religion</t>
  </si>
  <si>
    <r>
      <rPr>
        <b/>
        <sz val="11"/>
        <color theme="1"/>
        <rFont val="Calibri"/>
        <family val="2"/>
        <scheme val="minor"/>
      </rPr>
      <t>1. The NPC Sheet.</t>
    </r>
    <r>
      <rPr>
        <sz val="11"/>
        <color theme="1"/>
        <rFont val="Calibri"/>
        <family val="2"/>
        <scheme val="minor"/>
      </rPr>
      <t xml:space="preserve"> This should be the main sheet you use when playing. The character is pre-generated by me, and designed for easy customization by you. There are three dropdown menus on the NPC Sheet that allows you to change O.C.C., Level, and Special Abilities of the NPC. These fields are highlighted a different color (same as this cell) to help them standout. Skills and bonuses should automatically adjust, allowing you to create a wide range of options. Attributes may also change depending on O.C.C. and level selected. If you simply want quick stats, then you shouldn't need any of the other worksheets and can stop at this step.</t>
    </r>
  </si>
  <si>
    <r>
      <rPr>
        <b/>
        <sz val="11"/>
        <color theme="1"/>
        <rFont val="Calibri"/>
        <family val="2"/>
        <scheme val="minor"/>
      </rPr>
      <t>2. The Primary Worksheet.</t>
    </r>
    <r>
      <rPr>
        <sz val="11"/>
        <color theme="1"/>
        <rFont val="Calibri"/>
        <family val="2"/>
        <scheme val="minor"/>
      </rPr>
      <t xml:space="preserve"> This sheet takes most of the information from various other worksheets, but acts as the main data hub for the NPC Sheet. If you want to further customize your NPC, this should be your next step. Here you can alter the character's Hand to Hand, Strength type, Main Weapon, Secondary/Alternate Weapon, and Armor options. These fields are highlighted the same color as above. This is useful for when you want something just a little different, or you want to make a tougher enemy than the standard troops. If you upgrade the character's Hand to Hand, the Skill options will adjust accordingly as well as bonuses. Just click what you want, and the sheet should take care of the rest.</t>
    </r>
  </si>
  <si>
    <t>C1-WT</t>
  </si>
  <si>
    <t>C2-WT</t>
  </si>
  <si>
    <t>C3-WT</t>
  </si>
  <si>
    <t>Click Here</t>
  </si>
  <si>
    <t>Class 1 Work Table</t>
  </si>
  <si>
    <t>Class 2 Work Table</t>
  </si>
  <si>
    <t>Class 3 Work Table</t>
  </si>
  <si>
    <r>
      <rPr>
        <b/>
        <sz val="11"/>
        <color theme="1"/>
        <rFont val="Calibri"/>
        <family val="2"/>
        <scheme val="minor"/>
      </rPr>
      <t>Note:</t>
    </r>
    <r>
      <rPr>
        <sz val="11"/>
        <color theme="1"/>
        <rFont val="Calibri"/>
        <family val="2"/>
        <scheme val="minor"/>
      </rPr>
      <t xml:space="preserve"> For Hit Points, P.P.E., and I.S.P, numbers 1-15 represent the random dice roll for that level.</t>
    </r>
  </si>
  <si>
    <r>
      <rPr>
        <b/>
        <sz val="11"/>
        <color theme="1"/>
        <rFont val="Calibri"/>
        <family val="2"/>
        <scheme val="minor"/>
      </rPr>
      <t>Note 2:</t>
    </r>
    <r>
      <rPr>
        <sz val="11"/>
        <color theme="1"/>
        <rFont val="Calibri"/>
        <family val="2"/>
        <scheme val="minor"/>
      </rPr>
      <t xml:space="preserve"> C1, C2, and C3 are all color coded to help you easily identify them.</t>
    </r>
  </si>
  <si>
    <r>
      <rPr>
        <b/>
        <sz val="11"/>
        <color theme="1"/>
        <rFont val="Calibri"/>
        <family val="2"/>
        <scheme val="minor"/>
      </rPr>
      <t>Note 1:</t>
    </r>
    <r>
      <rPr>
        <sz val="11"/>
        <color theme="1"/>
        <rFont val="Calibri"/>
        <family val="2"/>
        <scheme val="minor"/>
      </rPr>
      <t xml:space="preserve"> The O.C.C., Level, and Ability Type dropdown menus are all near the top of the page, near the Attributes and Name column. They are preset to the first O.C.C., Level 1, and No Special Abilities as default. However, if you want something different, simply click on the small arrow to the right of the cell and select a different option from the list. Only 3 O.C.C. and up to 7 Special Abilities are available, but all 15 levels are selectable.</t>
    </r>
  </si>
  <si>
    <t>(not selected)</t>
  </si>
  <si>
    <t>and scroll to the desired line.</t>
  </si>
  <si>
    <t>To Edit Descriptions:</t>
  </si>
  <si>
    <t>Primary Menus &amp; Drop Down Lists</t>
  </si>
  <si>
    <t>To Edit Stats*:</t>
  </si>
  <si>
    <t>*Including Combat Bonuses, Saves, P.P.E, etc.</t>
  </si>
  <si>
    <t>Dwarf</t>
  </si>
  <si>
    <t>Warrior Monk</t>
  </si>
  <si>
    <t>Blacksmith</t>
  </si>
  <si>
    <t>Gemology (Recog. Metal/Stone)</t>
  </si>
  <si>
    <t>Language: Dwarven</t>
  </si>
  <si>
    <t>Language: Sign</t>
  </si>
  <si>
    <t>Heraldry</t>
  </si>
  <si>
    <t>Lore: Magic</t>
  </si>
  <si>
    <t>Literacy: (one of choice)</t>
  </si>
  <si>
    <t>Athletics: General</t>
  </si>
  <si>
    <t>Writing</t>
  </si>
  <si>
    <t>History</t>
  </si>
  <si>
    <t>Sculping &amp; Whittling</t>
  </si>
  <si>
    <t>150 lbs</t>
  </si>
  <si>
    <t>White</t>
  </si>
  <si>
    <t>Brown</t>
  </si>
  <si>
    <t>Underground</t>
  </si>
  <si>
    <t>Elves</t>
  </si>
  <si>
    <t>Unprincipled</t>
  </si>
  <si>
    <t>Play Instrument: Bugle</t>
  </si>
  <si>
    <t>Spirit Strike (Special): Used against Supernatural Beings or Creatures of Magic. Damage: x3. Cost: 2D6 P.P.E.</t>
  </si>
  <si>
    <t>Stick Power Strike: Called shot (18+ w/bonuses). +1D6 damage. Victim: -1 attack, lose initiative, 50% drop weapon.</t>
  </si>
  <si>
    <t>Parry Arrows with Staff or Spear: -2 to parry arrows/darts/thrown. -6 to parry gunfire. Can only parry 1 opponent.</t>
  </si>
  <si>
    <t>Special Monk Training</t>
  </si>
  <si>
    <t>Languages: Elven</t>
  </si>
  <si>
    <t>Lore: Demons &amp; Monsters</t>
  </si>
  <si>
    <t>W.P. Staff</t>
  </si>
  <si>
    <t>W.P. Spear</t>
  </si>
  <si>
    <t>Language: Elven</t>
  </si>
  <si>
    <t>Metalworking</t>
  </si>
  <si>
    <t>W.P. Blunt</t>
  </si>
  <si>
    <t>Field Armorer (Metal Work)</t>
  </si>
  <si>
    <t>Literacy: Elven</t>
  </si>
  <si>
    <t>W.P. Sword</t>
  </si>
  <si>
    <t>Public Speaking</t>
  </si>
  <si>
    <t>Carpentry</t>
  </si>
  <si>
    <t>General Repair</t>
  </si>
  <si>
    <t>Appraise Goods</t>
  </si>
  <si>
    <t>Sculpting &amp; Whittling</t>
  </si>
  <si>
    <t>Locate Secret Compartments/Doors</t>
  </si>
  <si>
    <t>Appraise (Professional)</t>
  </si>
  <si>
    <t>Sculpting (Professional)</t>
  </si>
  <si>
    <t>Masonry</t>
  </si>
  <si>
    <t>Brewing</t>
  </si>
  <si>
    <t>Impervious to Fire (4): No damage from heat, fire, boiling water, hot coals, etc. Half damage from magic fire.</t>
  </si>
  <si>
    <t>Mind Block (4): Impervious to Telepathy, Empathy, Hypnotic Suggestion, Empathic Transfer, &amp; Induce Nightmares.</t>
  </si>
  <si>
    <t>-- Mind Block provides a +1 to save vs. all other psionic and mental attacks not listed above.</t>
  </si>
  <si>
    <t>Telepathy (4): Read surface thoughts only. Saving throw is conditional (must suspect).</t>
  </si>
  <si>
    <t>Psychic Diagnosis (4): Requires 2D4 melee rounds of meditation.</t>
  </si>
  <si>
    <t>Psychic Surgery (14): Requires 2D6 minutes of meditation, plus surgery time. 01-66% recovery from coma/death.</t>
  </si>
  <si>
    <t>Note: Psychic Diagnosis must be performed before a Psychic Surgery.</t>
  </si>
  <si>
    <t>Cook</t>
  </si>
  <si>
    <t>Holistic Medicine</t>
  </si>
  <si>
    <t>Dance</t>
  </si>
  <si>
    <t>Astronomy &amp; Navigation</t>
  </si>
  <si>
    <t>Sailing</t>
  </si>
  <si>
    <t>Animal Husbandry</t>
  </si>
  <si>
    <t>Breed Dogs</t>
  </si>
  <si>
    <t>Botany</t>
  </si>
  <si>
    <t>Preserve Food</t>
  </si>
  <si>
    <t>Boat Building</t>
  </si>
  <si>
    <t>Sing</t>
  </si>
  <si>
    <t>Sing (Professional)</t>
  </si>
  <si>
    <t>Streetwise</t>
  </si>
  <si>
    <t>Sew</t>
  </si>
  <si>
    <t>Lore: Faerie Folk</t>
  </si>
  <si>
    <t>Language: Faerie Speak</t>
  </si>
  <si>
    <t>Play Instrument: Redbay Flute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</si>
</sst>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b/>
      <sz val="16"/>
      <color rgb="FFFF0000"/>
      <name val="Calibri"/>
      <family val="2"/>
      <scheme val="minor"/>
    </font>
    <font>
      <sz val="10"/>
      <color theme="0"/>
      <name val="Calibri"/>
      <family val="2"/>
      <scheme val="minor"/>
    </font>
    <font>
      <sz val="10"/>
      <color rgb="FFFF0000"/>
      <name val="Calibri"/>
      <family val="2"/>
      <scheme val="minor"/>
    </font>
    <font>
      <b/>
      <sz val="16"/>
      <color rgb="FFFF0000"/>
      <name val="Rockwell"/>
      <family val="1"/>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b/>
      <sz val="12"/>
      <color theme="0"/>
      <name val="Calibri"/>
      <family val="2"/>
      <scheme val="minor"/>
    </font>
  </fonts>
  <fills count="12">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542708"/>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C00000"/>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593">
    <xf numFmtId="0" fontId="0" fillId="0" borderId="0" xfId="0"/>
    <xf numFmtId="0" fontId="0" fillId="0" borderId="0" xfId="0"/>
    <xf numFmtId="0" fontId="0" fillId="0" borderId="1" xfId="0" applyBorder="1"/>
    <xf numFmtId="0" fontId="2" fillId="0" borderId="0" xfId="0" applyFont="1"/>
    <xf numFmtId="0" fontId="0" fillId="0" borderId="0" xfId="0" applyFill="1"/>
    <xf numFmtId="0" fontId="2" fillId="0" borderId="1" xfId="0" applyFont="1" applyFill="1" applyBorder="1" applyAlignment="1"/>
    <xf numFmtId="0" fontId="2" fillId="0" borderId="10" xfId="0" applyFont="1" applyFill="1" applyBorder="1" applyAlignment="1"/>
    <xf numFmtId="0" fontId="2" fillId="0" borderId="8" xfId="0" applyFont="1" applyFill="1" applyBorder="1" applyAlignment="1"/>
    <xf numFmtId="0" fontId="2" fillId="0" borderId="1" xfId="0" applyFont="1" applyBorder="1" applyAlignment="1">
      <alignment horizontal="right"/>
    </xf>
    <xf numFmtId="0" fontId="2" fillId="0" borderId="10" xfId="0" applyFont="1" applyBorder="1" applyAlignment="1">
      <alignment horizontal="right"/>
    </xf>
    <xf numFmtId="0" fontId="2" fillId="0" borderId="12" xfId="0" applyFont="1" applyBorder="1" applyAlignment="1">
      <alignment horizontal="right"/>
    </xf>
    <xf numFmtId="0" fontId="2" fillId="0" borderId="0" xfId="0" applyFont="1" applyFill="1"/>
    <xf numFmtId="0" fontId="2" fillId="0" borderId="6" xfId="0" applyFont="1" applyBorder="1" applyAlignment="1">
      <alignment horizontal="right"/>
    </xf>
    <xf numFmtId="0" fontId="2" fillId="0" borderId="20" xfId="0" applyFont="1" applyBorder="1" applyAlignment="1">
      <alignment horizontal="right"/>
    </xf>
    <xf numFmtId="0" fontId="2" fillId="0" borderId="0" xfId="0" applyFont="1" applyBorder="1" applyAlignment="1">
      <alignment horizontal="right"/>
    </xf>
    <xf numFmtId="0" fontId="0" fillId="0" borderId="1" xfId="0" applyFill="1" applyBorder="1"/>
    <xf numFmtId="0" fontId="2" fillId="0" borderId="0" xfId="0" applyFont="1" applyFill="1" applyBorder="1" applyAlignment="1">
      <alignment horizontal="left"/>
    </xf>
    <xf numFmtId="0" fontId="2" fillId="0" borderId="14" xfId="0" applyFont="1" applyFill="1" applyBorder="1" applyAlignment="1">
      <alignment horizontal="right"/>
    </xf>
    <xf numFmtId="0" fontId="2" fillId="0" borderId="37" xfId="0" applyFont="1" applyBorder="1" applyAlignment="1"/>
    <xf numFmtId="0" fontId="0" fillId="2" borderId="1" xfId="0" applyFill="1" applyBorder="1"/>
    <xf numFmtId="0" fontId="0" fillId="0" borderId="0" xfId="0" applyFill="1" applyBorder="1"/>
    <xf numFmtId="0" fontId="2" fillId="0" borderId="1" xfId="0" applyFont="1" applyBorder="1"/>
    <xf numFmtId="0" fontId="2" fillId="2" borderId="1" xfId="0" applyFont="1" applyFill="1" applyBorder="1"/>
    <xf numFmtId="0" fontId="2" fillId="0" borderId="0" xfId="0" applyFont="1" applyFill="1" applyBorder="1"/>
    <xf numFmtId="0" fontId="2" fillId="0" borderId="40" xfId="0" applyFont="1" applyFill="1" applyBorder="1" applyAlignment="1"/>
    <xf numFmtId="0" fontId="2" fillId="0" borderId="10" xfId="0" applyFont="1" applyBorder="1" applyAlignment="1"/>
    <xf numFmtId="0" fontId="2" fillId="0" borderId="12" xfId="0" applyFont="1" applyBorder="1" applyAlignment="1"/>
    <xf numFmtId="0" fontId="2" fillId="0" borderId="8" xfId="0" applyFont="1" applyBorder="1" applyAlignment="1"/>
    <xf numFmtId="0" fontId="2" fillId="0" borderId="12" xfId="0" applyFont="1" applyFill="1" applyBorder="1" applyAlignment="1">
      <alignment horizontal="right"/>
    </xf>
    <xf numFmtId="0" fontId="2" fillId="0" borderId="14" xfId="0" applyFont="1" applyBorder="1" applyAlignment="1">
      <alignment horizontal="right"/>
    </xf>
    <xf numFmtId="0" fontId="2" fillId="0" borderId="10" xfId="0" applyFont="1" applyFill="1" applyBorder="1" applyAlignment="1">
      <alignment horizontal="right"/>
    </xf>
    <xf numFmtId="0" fontId="2" fillId="0" borderId="41" xfId="0" applyFont="1" applyBorder="1" applyAlignment="1">
      <alignment horizontal="right"/>
    </xf>
    <xf numFmtId="0" fontId="0" fillId="0" borderId="10" xfId="0" applyBorder="1"/>
    <xf numFmtId="0" fontId="0" fillId="0" borderId="14" xfId="0" applyBorder="1"/>
    <xf numFmtId="0" fontId="0" fillId="0" borderId="20" xfId="0" applyBorder="1"/>
    <xf numFmtId="0" fontId="0" fillId="0" borderId="18" xfId="0" applyBorder="1"/>
    <xf numFmtId="0" fontId="0" fillId="0" borderId="41" xfId="0" applyBorder="1"/>
    <xf numFmtId="0" fontId="2" fillId="0" borderId="10" xfId="0" applyFont="1" applyBorder="1"/>
    <xf numFmtId="0" fontId="2" fillId="0" borderId="9" xfId="0" applyFont="1" applyBorder="1"/>
    <xf numFmtId="0" fontId="2" fillId="3" borderId="9" xfId="0" applyFont="1" applyFill="1" applyBorder="1"/>
    <xf numFmtId="0" fontId="2" fillId="0" borderId="20" xfId="0" applyFont="1" applyFill="1" applyBorder="1" applyAlignment="1"/>
    <xf numFmtId="0" fontId="2" fillId="0" borderId="18" xfId="0" applyFont="1" applyFill="1" applyBorder="1" applyAlignment="1"/>
    <xf numFmtId="0" fontId="2" fillId="0" borderId="41" xfId="0" applyFont="1" applyFill="1" applyBorder="1" applyAlignment="1"/>
    <xf numFmtId="0" fontId="2" fillId="0" borderId="14" xfId="0" applyFont="1" applyFill="1" applyBorder="1" applyAlignment="1"/>
    <xf numFmtId="0" fontId="2" fillId="0" borderId="1" xfId="0" applyFont="1" applyFill="1" applyBorder="1"/>
    <xf numFmtId="0" fontId="2" fillId="3" borderId="11" xfId="0" applyFont="1" applyFill="1" applyBorder="1"/>
    <xf numFmtId="0" fontId="2" fillId="3" borderId="17" xfId="0" applyFont="1" applyFill="1" applyBorder="1"/>
    <xf numFmtId="0" fontId="2" fillId="0" borderId="18" xfId="0" applyFont="1" applyBorder="1"/>
    <xf numFmtId="0" fontId="2" fillId="2" borderId="14" xfId="0" applyFont="1" applyFill="1" applyBorder="1"/>
    <xf numFmtId="0" fontId="2" fillId="0" borderId="12" xfId="0" applyFont="1" applyBorder="1"/>
    <xf numFmtId="0" fontId="2" fillId="2" borderId="20" xfId="0" applyFont="1" applyFill="1" applyBorder="1"/>
    <xf numFmtId="0" fontId="2" fillId="0" borderId="11" xfId="0" applyFont="1" applyFill="1" applyBorder="1"/>
    <xf numFmtId="0" fontId="2" fillId="0" borderId="12" xfId="0" applyFont="1" applyFill="1" applyBorder="1"/>
    <xf numFmtId="0" fontId="2" fillId="0" borderId="17" xfId="0" applyFont="1" applyBorder="1"/>
    <xf numFmtId="0" fontId="2" fillId="0" borderId="18" xfId="0" quotePrefix="1" applyFont="1" applyBorder="1"/>
    <xf numFmtId="0" fontId="0" fillId="2" borderId="6" xfId="0" applyFill="1" applyBorder="1"/>
    <xf numFmtId="0" fontId="2" fillId="0" borderId="8" xfId="0" applyFont="1" applyBorder="1" applyAlignment="1">
      <alignment horizontal="right"/>
    </xf>
    <xf numFmtId="0" fontId="0" fillId="0" borderId="0" xfId="0" applyAlignment="1">
      <alignment horizontal="center"/>
    </xf>
    <xf numFmtId="0" fontId="0" fillId="0" borderId="0" xfId="0" applyAlignment="1"/>
    <xf numFmtId="0" fontId="2" fillId="3" borderId="9" xfId="0" applyFont="1" applyFill="1" applyBorder="1" applyAlignment="1">
      <alignment horizontal="left" vertical="center" wrapText="1"/>
    </xf>
    <xf numFmtId="0" fontId="2" fillId="3" borderId="8" xfId="0" applyFont="1" applyFill="1" applyBorder="1" applyAlignment="1">
      <alignment horizontal="center"/>
    </xf>
    <xf numFmtId="0" fontId="1" fillId="0" borderId="0" xfId="0" applyFont="1" applyFill="1" applyBorder="1" applyAlignment="1">
      <alignment horizontal="center"/>
    </xf>
    <xf numFmtId="0" fontId="2" fillId="0" borderId="12" xfId="0" applyFont="1" applyFill="1" applyBorder="1" applyAlignment="1"/>
    <xf numFmtId="0" fontId="0" fillId="3" borderId="50" xfId="0" applyFill="1" applyBorder="1" applyAlignment="1">
      <alignment horizontal="center" vertical="center"/>
    </xf>
    <xf numFmtId="0" fontId="0" fillId="3" borderId="22" xfId="0" applyFill="1" applyBorder="1" applyAlignment="1">
      <alignment horizontal="center" vertical="center" wrapText="1"/>
    </xf>
    <xf numFmtId="0" fontId="0" fillId="3" borderId="44" xfId="0" applyFill="1" applyBorder="1" applyAlignment="1">
      <alignment horizontal="center" vertical="center"/>
    </xf>
    <xf numFmtId="0" fontId="0" fillId="3" borderId="23" xfId="0" applyFill="1" applyBorder="1" applyAlignment="1">
      <alignment horizontal="center" vertical="center" wrapText="1"/>
    </xf>
    <xf numFmtId="0" fontId="0" fillId="3" borderId="35" xfId="0" applyFill="1" applyBorder="1" applyAlignment="1">
      <alignment horizontal="center" vertical="center" wrapText="1"/>
    </xf>
    <xf numFmtId="0" fontId="0" fillId="6" borderId="20" xfId="0" applyFill="1" applyBorder="1"/>
    <xf numFmtId="0" fontId="0" fillId="5" borderId="18" xfId="0" applyFill="1" applyBorder="1"/>
    <xf numFmtId="0" fontId="0" fillId="0" borderId="0" xfId="0" applyFont="1" applyAlignment="1">
      <alignment horizontal="left" vertical="center" wrapText="1"/>
    </xf>
    <xf numFmtId="0" fontId="2" fillId="0" borderId="10" xfId="0" applyFont="1" applyBorder="1" applyAlignment="1">
      <alignment horizontal="left"/>
    </xf>
    <xf numFmtId="0" fontId="2" fillId="0" borderId="18" xfId="0" applyFont="1" applyBorder="1" applyAlignment="1">
      <alignment horizontal="left"/>
    </xf>
    <xf numFmtId="0" fontId="2" fillId="3" borderId="17" xfId="0" applyFont="1" applyFill="1" applyBorder="1" applyAlignment="1">
      <alignment horizontal="left"/>
    </xf>
    <xf numFmtId="0" fontId="2" fillId="3" borderId="9" xfId="0" applyFont="1" applyFill="1" applyBorder="1" applyAlignment="1">
      <alignment horizontal="left"/>
    </xf>
    <xf numFmtId="0" fontId="2" fillId="3" borderId="11" xfId="0" applyFont="1" applyFill="1" applyBorder="1" applyAlignment="1">
      <alignment horizontal="left"/>
    </xf>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3" fillId="3" borderId="9" xfId="0" applyFont="1" applyFill="1" applyBorder="1" applyAlignment="1">
      <alignment horizontal="left" vertical="center"/>
    </xf>
    <xf numFmtId="0" fontId="2" fillId="0" borderId="1" xfId="0" applyFont="1" applyBorder="1" applyAlignment="1" applyProtection="1">
      <alignment horizontal="left"/>
      <protection locked="0"/>
    </xf>
    <xf numFmtId="0" fontId="2" fillId="0" borderId="20" xfId="0" applyFont="1" applyBorder="1" applyProtection="1">
      <protection locked="0"/>
    </xf>
    <xf numFmtId="0" fontId="2" fillId="0" borderId="1" xfId="0" applyFont="1" applyBorder="1" applyProtection="1">
      <protection locked="0"/>
    </xf>
    <xf numFmtId="0" fontId="2" fillId="0" borderId="14" xfId="0" applyFont="1"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6" borderId="1" xfId="0" applyFill="1" applyBorder="1" applyProtection="1">
      <protection locked="0"/>
    </xf>
    <xf numFmtId="0" fontId="0" fillId="5" borderId="1" xfId="0" applyFill="1" applyBorder="1" applyProtection="1">
      <protection locked="0"/>
    </xf>
    <xf numFmtId="0" fontId="0" fillId="6" borderId="14" xfId="0" applyFill="1" applyBorder="1" applyProtection="1">
      <protection locked="0"/>
    </xf>
    <xf numFmtId="0" fontId="0" fillId="5" borderId="14" xfId="0" applyFill="1" applyBorder="1" applyProtection="1">
      <protection locked="0"/>
    </xf>
    <xf numFmtId="0" fontId="0" fillId="0" borderId="14" xfId="0" applyBorder="1" applyProtection="1">
      <protection locked="0"/>
    </xf>
    <xf numFmtId="0" fontId="0" fillId="0" borderId="49" xfId="0" applyBorder="1" applyProtection="1">
      <protection locked="0"/>
    </xf>
    <xf numFmtId="0" fontId="0" fillId="0" borderId="2" xfId="0" applyBorder="1" applyProtection="1">
      <protection locked="0"/>
    </xf>
    <xf numFmtId="0" fontId="0" fillId="0" borderId="15" xfId="0" applyBorder="1" applyProtection="1">
      <protection locked="0"/>
    </xf>
    <xf numFmtId="0" fontId="0" fillId="8" borderId="27" xfId="0" applyFill="1" applyBorder="1" applyProtection="1">
      <protection locked="0"/>
    </xf>
    <xf numFmtId="0" fontId="0" fillId="8" borderId="3" xfId="0" applyFill="1" applyBorder="1" applyProtection="1">
      <protection locked="0"/>
    </xf>
    <xf numFmtId="0" fontId="0" fillId="8" borderId="32" xfId="0" applyFill="1" applyBorder="1" applyProtection="1">
      <protection locked="0"/>
    </xf>
    <xf numFmtId="0" fontId="0" fillId="8" borderId="17" xfId="0" applyFill="1" applyBorder="1"/>
    <xf numFmtId="0" fontId="0" fillId="8" borderId="48" xfId="0" applyFill="1" applyBorder="1"/>
    <xf numFmtId="0" fontId="2" fillId="3" borderId="7" xfId="0" applyFont="1" applyFill="1" applyBorder="1" applyAlignment="1"/>
    <xf numFmtId="0" fontId="2" fillId="3" borderId="13" xfId="0" applyFont="1" applyFill="1" applyBorder="1" applyAlignment="1"/>
    <xf numFmtId="0" fontId="2" fillId="0" borderId="10" xfId="0" applyFont="1" applyFill="1" applyBorder="1"/>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0" xfId="0" applyBorder="1"/>
    <xf numFmtId="0" fontId="2" fillId="3" borderId="14" xfId="0" applyFont="1" applyFill="1" applyBorder="1" applyAlignment="1">
      <alignment horizontal="left"/>
    </xf>
    <xf numFmtId="0" fontId="2" fillId="3" borderId="1" xfId="0" applyFont="1" applyFill="1" applyBorder="1" applyAlignment="1">
      <alignment horizontal="left"/>
    </xf>
    <xf numFmtId="0" fontId="2" fillId="3" borderId="20" xfId="0" applyFont="1" applyFill="1" applyBorder="1" applyAlignment="1">
      <alignment horizontal="left"/>
    </xf>
    <xf numFmtId="0" fontId="2" fillId="3" borderId="4" xfId="0" applyFont="1" applyFill="1" applyBorder="1" applyAlignment="1">
      <alignment horizontal="left"/>
    </xf>
    <xf numFmtId="0" fontId="0" fillId="6" borderId="13" xfId="0" applyFill="1" applyBorder="1" applyProtection="1">
      <protection locked="0"/>
    </xf>
    <xf numFmtId="0" fontId="0" fillId="5" borderId="13" xfId="0" applyFill="1" applyBorder="1" applyProtection="1">
      <protection locked="0"/>
    </xf>
    <xf numFmtId="0" fontId="0" fillId="0" borderId="13" xfId="0" applyBorder="1" applyProtection="1">
      <protection locked="0"/>
    </xf>
    <xf numFmtId="0" fontId="0" fillId="0" borderId="13" xfId="0" applyBorder="1"/>
    <xf numFmtId="0" fontId="0" fillId="0" borderId="37" xfId="0" applyBorder="1" applyProtection="1">
      <protection locked="0"/>
    </xf>
    <xf numFmtId="0" fontId="0" fillId="8" borderId="7" xfId="0" applyFill="1" applyBorder="1"/>
    <xf numFmtId="0" fontId="0" fillId="6" borderId="13" xfId="0" applyFill="1" applyBorder="1"/>
    <xf numFmtId="0" fontId="0" fillId="5" borderId="8" xfId="0" applyFill="1" applyBorder="1"/>
    <xf numFmtId="0" fontId="0" fillId="6" borderId="49" xfId="0" applyFill="1" applyBorder="1"/>
    <xf numFmtId="0" fontId="0" fillId="5" borderId="45" xfId="0" applyFill="1" applyBorder="1"/>
    <xf numFmtId="0" fontId="0" fillId="8" borderId="36" xfId="0" applyFill="1" applyBorder="1" applyProtection="1">
      <protection locked="0"/>
    </xf>
    <xf numFmtId="0" fontId="5" fillId="7" borderId="22" xfId="0" applyFont="1" applyFill="1" applyBorder="1" applyAlignment="1">
      <alignment horizontal="center" vertical="center" wrapText="1"/>
    </xf>
    <xf numFmtId="0" fontId="0" fillId="3" borderId="21" xfId="0" applyFill="1" applyBorder="1" applyAlignment="1">
      <alignment horizontal="center" vertical="center"/>
    </xf>
    <xf numFmtId="0" fontId="2" fillId="3" borderId="1" xfId="0" applyFont="1" applyFill="1" applyBorder="1" applyAlignment="1">
      <alignment horizontal="left"/>
    </xf>
    <xf numFmtId="0" fontId="2" fillId="3" borderId="9" xfId="0" applyFont="1" applyFill="1" applyBorder="1" applyAlignment="1"/>
    <xf numFmtId="0" fontId="2" fillId="3" borderId="9" xfId="0" applyFont="1" applyFill="1" applyBorder="1" applyAlignment="1">
      <alignment horizontal="left"/>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wrapText="1"/>
    </xf>
    <xf numFmtId="0" fontId="5"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horizontal="center"/>
    </xf>
    <xf numFmtId="0" fontId="6" fillId="0" borderId="0" xfId="0" applyFont="1" applyFill="1" applyBorder="1" applyAlignment="1"/>
    <xf numFmtId="0" fontId="5" fillId="0" borderId="0" xfId="0" applyFont="1" applyFill="1" applyBorder="1" applyAlignment="1"/>
    <xf numFmtId="0" fontId="2" fillId="0" borderId="0" xfId="0" applyFont="1" applyFill="1" applyBorder="1" applyAlignment="1" applyProtection="1">
      <protection locked="0"/>
    </xf>
    <xf numFmtId="0" fontId="3" fillId="0" borderId="0" xfId="0" applyFont="1" applyFill="1" applyBorder="1" applyAlignment="1">
      <alignment horizontal="left" vertical="center"/>
    </xf>
    <xf numFmtId="0" fontId="0" fillId="0" borderId="0" xfId="0" applyAlignment="1">
      <alignment wrapText="1"/>
    </xf>
    <xf numFmtId="0" fontId="0" fillId="0" borderId="0" xfId="0" applyFill="1" applyBorder="1" applyAlignment="1">
      <alignment horizontal="left"/>
    </xf>
    <xf numFmtId="0" fontId="0" fillId="0" borderId="0" xfId="0" applyFill="1" applyBorder="1" applyAlignment="1">
      <alignment horizontal="right"/>
    </xf>
    <xf numFmtId="0" fontId="10" fillId="0" borderId="0" xfId="0" applyFont="1" applyFill="1" applyBorder="1" applyAlignment="1"/>
    <xf numFmtId="0" fontId="10" fillId="0" borderId="0" xfId="0" applyFont="1" applyFill="1" applyBorder="1"/>
    <xf numFmtId="0" fontId="9" fillId="7" borderId="1" xfId="0" applyFont="1" applyFill="1" applyBorder="1"/>
    <xf numFmtId="0" fontId="2" fillId="3" borderId="17" xfId="0" applyFont="1" applyFill="1" applyBorder="1" applyAlignment="1" applyProtection="1">
      <protection locked="0"/>
    </xf>
    <xf numFmtId="0" fontId="2" fillId="0" borderId="20" xfId="0" applyFont="1" applyBorder="1" applyAlignment="1" applyProtection="1">
      <protection locked="0"/>
    </xf>
    <xf numFmtId="0" fontId="9" fillId="0" borderId="0" xfId="0" applyFont="1" applyFill="1" applyBorder="1"/>
    <xf numFmtId="0" fontId="9" fillId="7" borderId="1" xfId="0" applyFont="1" applyFill="1" applyBorder="1" applyAlignment="1"/>
    <xf numFmtId="0" fontId="2" fillId="0" borderId="0" xfId="0" applyFont="1" applyFill="1" applyBorder="1" applyAlignment="1">
      <alignment horizontal="center" vertical="center" wrapText="1"/>
    </xf>
    <xf numFmtId="0" fontId="2" fillId="0" borderId="0" xfId="0" applyFont="1" applyFill="1" applyBorder="1" applyProtection="1">
      <protection locked="0"/>
    </xf>
    <xf numFmtId="0" fontId="2" fillId="0" borderId="0" xfId="0" applyFont="1" applyFill="1" applyBorder="1" applyAlignment="1">
      <alignment vertical="center"/>
    </xf>
    <xf numFmtId="0" fontId="2" fillId="0" borderId="0" xfId="0" applyFont="1" applyFill="1" applyBorder="1" applyAlignment="1" applyProtection="1">
      <alignment horizontal="left"/>
      <protection locked="0"/>
    </xf>
    <xf numFmtId="0" fontId="9" fillId="0" borderId="0" xfId="0" applyFont="1" applyFill="1" applyBorder="1" applyAlignment="1">
      <alignment horizontal="center"/>
    </xf>
    <xf numFmtId="0" fontId="2" fillId="2" borderId="13" xfId="0" applyFont="1" applyFill="1" applyBorder="1"/>
    <xf numFmtId="0" fontId="2" fillId="0" borderId="13" xfId="0" applyFont="1" applyBorder="1" applyProtection="1">
      <protection locked="0"/>
    </xf>
    <xf numFmtId="0" fontId="2" fillId="0" borderId="8" xfId="0" applyFont="1" applyBorder="1"/>
    <xf numFmtId="0" fontId="0" fillId="0" borderId="0" xfId="0" applyFill="1" applyBorder="1" applyAlignment="1"/>
    <xf numFmtId="0" fontId="9" fillId="0" borderId="1" xfId="0" applyFont="1" applyFill="1" applyBorder="1"/>
    <xf numFmtId="0" fontId="9" fillId="0" borderId="0" xfId="0" applyFont="1" applyFill="1" applyBorder="1" applyAlignment="1">
      <alignment horizontal="left"/>
    </xf>
    <xf numFmtId="0" fontId="9" fillId="3" borderId="1" xfId="0" applyFont="1" applyFill="1" applyBorder="1"/>
    <xf numFmtId="0" fontId="2" fillId="0" borderId="1" xfId="0" applyFont="1" applyBorder="1" applyAlignment="1">
      <alignment horizontal="left"/>
    </xf>
    <xf numFmtId="0" fontId="2" fillId="0" borderId="1" xfId="0" applyFont="1" applyBorder="1" applyAlignment="1" applyProtection="1">
      <alignment horizontal="left"/>
      <protection locked="0"/>
    </xf>
    <xf numFmtId="0" fontId="2" fillId="3" borderId="9" xfId="0" applyFont="1" applyFill="1" applyBorder="1" applyAlignment="1">
      <alignment horizontal="left"/>
    </xf>
    <xf numFmtId="0" fontId="2" fillId="0" borderId="14" xfId="0" applyFont="1" applyBorder="1" applyAlignment="1" applyProtection="1">
      <alignment horizontal="left"/>
      <protection locked="0"/>
    </xf>
    <xf numFmtId="0" fontId="2" fillId="3" borderId="11" xfId="0" applyFont="1" applyFill="1" applyBorder="1" applyAlignment="1">
      <alignment horizontal="left"/>
    </xf>
    <xf numFmtId="0" fontId="2" fillId="0" borderId="14" xfId="0" applyFont="1" applyBorder="1" applyAlignment="1" applyProtection="1">
      <alignment horizontal="left"/>
      <protection locked="0"/>
    </xf>
    <xf numFmtId="0" fontId="2" fillId="0" borderId="1" xfId="0" applyFont="1" applyBorder="1" applyAlignment="1" applyProtection="1">
      <alignment horizontal="left"/>
      <protection locked="0"/>
    </xf>
    <xf numFmtId="0" fontId="5" fillId="0" borderId="0" xfId="0" applyFont="1" applyFill="1" applyBorder="1" applyAlignment="1">
      <alignment horizontal="center" vertical="center"/>
    </xf>
    <xf numFmtId="0" fontId="2" fillId="0" borderId="0" xfId="0" applyFont="1" applyFill="1" applyBorder="1" applyAlignment="1">
      <alignment horizontal="right"/>
    </xf>
    <xf numFmtId="0" fontId="6" fillId="0" borderId="0" xfId="0" applyFont="1" applyFill="1" applyBorder="1" applyAlignment="1">
      <alignment horizontal="left"/>
    </xf>
    <xf numFmtId="0" fontId="0" fillId="5" borderId="9" xfId="0" applyFill="1" applyBorder="1"/>
    <xf numFmtId="0" fontId="0" fillId="5" borderId="9" xfId="0" applyFill="1" applyBorder="1" applyAlignment="1">
      <alignment horizontal="left"/>
    </xf>
    <xf numFmtId="0" fontId="0" fillId="0" borderId="12" xfId="0" applyBorder="1"/>
    <xf numFmtId="0" fontId="0" fillId="5" borderId="11" xfId="0" applyFill="1" applyBorder="1" applyAlignment="1">
      <alignment horizontal="left"/>
    </xf>
    <xf numFmtId="0" fontId="5"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0" borderId="0" xfId="0" quotePrefix="1" applyFont="1" applyFill="1" applyBorder="1"/>
    <xf numFmtId="0" fontId="9" fillId="0" borderId="1" xfId="0" applyFont="1" applyFill="1" applyBorder="1" applyAlignment="1"/>
    <xf numFmtId="0" fontId="9" fillId="0" borderId="0" xfId="0" applyFont="1"/>
    <xf numFmtId="0" fontId="9" fillId="0" borderId="1" xfId="0" applyFont="1" applyBorder="1"/>
    <xf numFmtId="0" fontId="9" fillId="0" borderId="1" xfId="0" applyFont="1" applyFill="1" applyBorder="1" applyAlignment="1">
      <alignment horizontal="left"/>
    </xf>
    <xf numFmtId="0" fontId="9" fillId="0" borderId="1" xfId="0" applyFont="1" applyBorder="1" applyAlignment="1">
      <alignment horizontal="right"/>
    </xf>
    <xf numFmtId="0" fontId="9" fillId="0" borderId="1" xfId="0" quotePrefix="1" applyFont="1" applyBorder="1"/>
    <xf numFmtId="0" fontId="9" fillId="0" borderId="1" xfId="0" applyFont="1" applyBorder="1" applyAlignment="1">
      <alignment horizontal="left"/>
    </xf>
    <xf numFmtId="0" fontId="9" fillId="0" borderId="0" xfId="0" applyFont="1" applyAlignment="1"/>
    <xf numFmtId="0" fontId="9" fillId="0" borderId="0" xfId="0" applyFont="1" applyAlignment="1">
      <alignment horizontal="right"/>
    </xf>
    <xf numFmtId="0" fontId="2" fillId="0" borderId="4"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14" xfId="0" applyFont="1" applyBorder="1" applyAlignment="1" applyProtection="1">
      <alignment horizontal="left"/>
    </xf>
    <xf numFmtId="0" fontId="2" fillId="0" borderId="19" xfId="0" applyFont="1" applyBorder="1" applyAlignment="1" applyProtection="1">
      <alignment horizontal="right"/>
    </xf>
    <xf numFmtId="0" fontId="2" fillId="0" borderId="27" xfId="0" applyFont="1" applyBorder="1" applyAlignment="1" applyProtection="1">
      <alignment horizontal="left"/>
    </xf>
    <xf numFmtId="0" fontId="2" fillId="3" borderId="27" xfId="0" applyFont="1" applyFill="1" applyBorder="1" applyAlignment="1" applyProtection="1">
      <alignment horizontal="left"/>
    </xf>
    <xf numFmtId="0" fontId="2" fillId="0" borderId="18" xfId="0" applyFont="1" applyBorder="1" applyAlignment="1" applyProtection="1">
      <alignment horizontal="left"/>
    </xf>
    <xf numFmtId="0" fontId="2" fillId="0" borderId="2" xfId="0" applyFont="1" applyBorder="1" applyAlignment="1" applyProtection="1">
      <alignment horizontal="right"/>
    </xf>
    <xf numFmtId="0" fontId="2" fillId="3" borderId="3" xfId="0" applyFont="1" applyFill="1" applyBorder="1" applyAlignment="1" applyProtection="1">
      <alignment horizontal="left"/>
    </xf>
    <xf numFmtId="0" fontId="2" fillId="0" borderId="10" xfId="0" applyFont="1" applyBorder="1" applyAlignment="1" applyProtection="1">
      <alignment horizontal="left"/>
    </xf>
    <xf numFmtId="0" fontId="2" fillId="0" borderId="14" xfId="0" applyFont="1" applyBorder="1" applyAlignment="1" applyProtection="1">
      <alignment horizontal="right"/>
    </xf>
    <xf numFmtId="0" fontId="2" fillId="0" borderId="12" xfId="0" applyFont="1" applyBorder="1" applyAlignment="1" applyProtection="1">
      <alignment horizontal="right"/>
    </xf>
    <xf numFmtId="0" fontId="0" fillId="0" borderId="0" xfId="0" applyProtection="1">
      <protection locked="0"/>
    </xf>
    <xf numFmtId="0" fontId="10" fillId="0" borderId="0" xfId="0" applyFont="1" applyFill="1" applyBorder="1" applyProtection="1">
      <protection locked="0"/>
    </xf>
    <xf numFmtId="0" fontId="0" fillId="3" borderId="1" xfId="0" applyFill="1" applyBorder="1" applyAlignment="1" applyProtection="1">
      <alignment horizontal="left"/>
    </xf>
    <xf numFmtId="0" fontId="10" fillId="0" borderId="1" xfId="0" applyFont="1" applyFill="1" applyBorder="1" applyProtection="1"/>
    <xf numFmtId="0" fontId="0" fillId="0" borderId="1" xfId="0" applyBorder="1" applyProtection="1"/>
    <xf numFmtId="0" fontId="9" fillId="5" borderId="1" xfId="0" applyFont="1" applyFill="1" applyBorder="1" applyProtection="1"/>
    <xf numFmtId="0" fontId="9" fillId="10" borderId="1" xfId="0" applyFont="1" applyFill="1" applyBorder="1" applyProtection="1"/>
    <xf numFmtId="0" fontId="9" fillId="2" borderId="1" xfId="0" applyFont="1" applyFill="1" applyBorder="1" applyProtection="1"/>
    <xf numFmtId="0" fontId="10" fillId="3" borderId="1" xfId="0" applyFont="1" applyFill="1" applyBorder="1" applyProtection="1"/>
    <xf numFmtId="0" fontId="10" fillId="0" borderId="1" xfId="0" applyFont="1" applyBorder="1" applyProtection="1"/>
    <xf numFmtId="0" fontId="10" fillId="3" borderId="1" xfId="0" applyFont="1" applyFill="1" applyBorder="1" applyAlignment="1" applyProtection="1">
      <alignment vertical="center"/>
    </xf>
    <xf numFmtId="0" fontId="10" fillId="0" borderId="1" xfId="0" applyFont="1" applyFill="1" applyBorder="1" applyAlignment="1" applyProtection="1">
      <alignment vertical="center"/>
    </xf>
    <xf numFmtId="0" fontId="9" fillId="7" borderId="1" xfId="0" applyFont="1" applyFill="1" applyBorder="1" applyAlignment="1" applyProtection="1">
      <alignment horizontal="center"/>
    </xf>
    <xf numFmtId="0" fontId="10" fillId="0" borderId="1" xfId="0" applyFont="1" applyFill="1" applyBorder="1" applyAlignment="1" applyProtection="1">
      <alignment horizontal="left"/>
    </xf>
    <xf numFmtId="0" fontId="9" fillId="5" borderId="13" xfId="0" applyFont="1" applyFill="1" applyBorder="1" applyAlignment="1" applyProtection="1">
      <alignment horizontal="center"/>
    </xf>
    <xf numFmtId="0" fontId="9" fillId="4" borderId="13" xfId="0" applyFont="1" applyFill="1" applyBorder="1" applyAlignment="1" applyProtection="1">
      <alignment horizontal="center"/>
    </xf>
    <xf numFmtId="0" fontId="9" fillId="2" borderId="8" xfId="0" applyFont="1" applyFill="1" applyBorder="1" applyAlignment="1" applyProtection="1">
      <alignment horizontal="center"/>
    </xf>
    <xf numFmtId="0" fontId="0" fillId="0" borderId="1" xfId="0" applyBorder="1" applyAlignment="1" applyProtection="1">
      <alignment horizontal="right"/>
    </xf>
    <xf numFmtId="0" fontId="0" fillId="0" borderId="10" xfId="0" applyBorder="1" applyAlignment="1" applyProtection="1">
      <alignment horizontal="right"/>
    </xf>
    <xf numFmtId="0" fontId="0" fillId="0" borderId="14" xfId="0" applyBorder="1" applyAlignment="1" applyProtection="1">
      <alignment horizontal="right"/>
    </xf>
    <xf numFmtId="0" fontId="0" fillId="0" borderId="12" xfId="0" applyBorder="1" applyAlignment="1" applyProtection="1">
      <alignment horizontal="right"/>
    </xf>
    <xf numFmtId="0" fontId="9" fillId="7" borderId="1" xfId="0" applyFont="1" applyFill="1" applyBorder="1" applyAlignment="1" applyProtection="1">
      <alignment horizontal="left"/>
    </xf>
    <xf numFmtId="0" fontId="9" fillId="7" borderId="1" xfId="0" applyFont="1" applyFill="1" applyBorder="1" applyProtection="1"/>
    <xf numFmtId="0" fontId="0" fillId="0" borderId="0" xfId="0" applyProtection="1"/>
    <xf numFmtId="0" fontId="2" fillId="0" borderId="13" xfId="0" applyFont="1" applyBorder="1" applyProtection="1"/>
    <xf numFmtId="0" fontId="2" fillId="0" borderId="20" xfId="0" applyFont="1" applyBorder="1" applyProtection="1"/>
    <xf numFmtId="0" fontId="2" fillId="0" borderId="12" xfId="0" applyFont="1" applyBorder="1" applyAlignment="1" applyProtection="1">
      <alignment horizontal="left"/>
    </xf>
    <xf numFmtId="0" fontId="0" fillId="0" borderId="1" xfId="0" applyFill="1" applyBorder="1" applyProtection="1">
      <protection locked="0"/>
    </xf>
    <xf numFmtId="0" fontId="2" fillId="0" borderId="1" xfId="0" applyFont="1" applyBorder="1" applyAlignment="1" applyProtection="1">
      <alignment horizontal="left"/>
    </xf>
    <xf numFmtId="0" fontId="0" fillId="3" borderId="1" xfId="0" applyFill="1" applyBorder="1"/>
    <xf numFmtId="0" fontId="2" fillId="0" borderId="1"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8" borderId="1" xfId="0" applyFont="1" applyFill="1" applyBorder="1" applyAlignment="1" applyProtection="1">
      <alignment horizontal="left"/>
      <protection locked="0"/>
    </xf>
    <xf numFmtId="0" fontId="0" fillId="8" borderId="1" xfId="0" applyFill="1" applyBorder="1" applyProtection="1">
      <protection locked="0"/>
    </xf>
    <xf numFmtId="0" fontId="3" fillId="3" borderId="1" xfId="0" applyFont="1" applyFill="1" applyBorder="1" applyProtection="1"/>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wrapText="1"/>
    </xf>
    <xf numFmtId="0" fontId="0" fillId="0" borderId="55" xfId="0" applyBorder="1" applyAlignment="1">
      <alignment horizontal="center"/>
    </xf>
    <xf numFmtId="0" fontId="0" fillId="0" borderId="0" xfId="0" applyBorder="1" applyAlignment="1">
      <alignment horizontal="center"/>
    </xf>
    <xf numFmtId="0" fontId="0" fillId="0" borderId="1" xfId="0" applyFill="1" applyBorder="1" applyProtection="1"/>
    <xf numFmtId="0" fontId="12" fillId="8" borderId="1" xfId="1" applyFill="1" applyBorder="1" applyProtection="1">
      <protection locked="0"/>
    </xf>
    <xf numFmtId="0" fontId="10" fillId="3" borderId="1" xfId="0" applyFont="1" applyFill="1" applyBorder="1" applyAlignment="1">
      <alignment horizontal="left"/>
    </xf>
    <xf numFmtId="0" fontId="10" fillId="3" borderId="1" xfId="0" applyFont="1" applyFill="1" applyBorder="1"/>
    <xf numFmtId="0" fontId="0" fillId="11" borderId="51" xfId="0" applyFill="1" applyBorder="1"/>
    <xf numFmtId="0" fontId="0" fillId="11" borderId="52" xfId="0" applyFill="1" applyBorder="1"/>
    <xf numFmtId="0" fontId="0" fillId="11" borderId="54" xfId="0" applyFill="1" applyBorder="1"/>
    <xf numFmtId="0" fontId="0" fillId="11" borderId="46" xfId="0" applyFill="1" applyBorder="1"/>
    <xf numFmtId="0" fontId="0" fillId="11" borderId="47" xfId="0" applyFill="1" applyBorder="1"/>
    <xf numFmtId="0" fontId="0" fillId="11" borderId="0" xfId="0" applyFill="1" applyBorder="1"/>
    <xf numFmtId="0" fontId="0" fillId="11" borderId="55" xfId="0" applyFill="1" applyBorder="1"/>
    <xf numFmtId="0" fontId="9" fillId="2" borderId="6" xfId="0" applyFont="1" applyFill="1" applyBorder="1" applyProtection="1"/>
    <xf numFmtId="0" fontId="0" fillId="8" borderId="6" xfId="0" applyFill="1" applyBorder="1" applyProtection="1">
      <protection locked="0"/>
    </xf>
    <xf numFmtId="0" fontId="10" fillId="0" borderId="6" xfId="0" applyFont="1" applyFill="1" applyBorder="1" applyProtection="1"/>
    <xf numFmtId="0" fontId="0" fillId="11" borderId="53" xfId="0" applyFill="1" applyBorder="1"/>
    <xf numFmtId="0" fontId="0" fillId="11" borderId="56" xfId="0" applyFill="1" applyBorder="1"/>
    <xf numFmtId="0" fontId="12" fillId="8" borderId="5" xfId="1" applyFill="1" applyBorder="1" applyAlignment="1" applyProtection="1">
      <alignment horizontal="center"/>
      <protection locked="0"/>
    </xf>
    <xf numFmtId="0" fontId="0" fillId="8" borderId="27" xfId="0" applyFill="1" applyBorder="1"/>
    <xf numFmtId="0" fontId="0" fillId="8" borderId="36" xfId="0" applyFill="1" applyBorder="1"/>
    <xf numFmtId="0" fontId="0" fillId="8" borderId="62" xfId="0" applyFill="1" applyBorder="1"/>
    <xf numFmtId="0" fontId="0" fillId="8" borderId="7" xfId="0" applyFill="1" applyBorder="1" applyProtection="1">
      <protection locked="0"/>
    </xf>
    <xf numFmtId="0" fontId="0" fillId="0" borderId="8" xfId="0" applyBorder="1" applyProtection="1">
      <protection locked="0"/>
    </xf>
    <xf numFmtId="0" fontId="0" fillId="8" borderId="9" xfId="0" applyFill="1" applyBorder="1" applyProtection="1">
      <protection locked="0"/>
    </xf>
    <xf numFmtId="0" fontId="0" fillId="0" borderId="10" xfId="0" applyBorder="1" applyProtection="1">
      <protection locked="0"/>
    </xf>
    <xf numFmtId="0" fontId="0" fillId="8" borderId="17" xfId="0" applyFill="1" applyBorder="1" applyProtection="1">
      <protection locked="0"/>
    </xf>
    <xf numFmtId="0" fontId="0" fillId="8" borderId="11" xfId="0" applyFill="1" applyBorder="1" applyProtection="1">
      <protection locked="0"/>
    </xf>
    <xf numFmtId="0" fontId="0" fillId="0" borderId="12" xfId="0" applyBorder="1" applyProtection="1">
      <protection locked="0"/>
    </xf>
    <xf numFmtId="0" fontId="0" fillId="0" borderId="0" xfId="0" applyFont="1" applyAlignment="1">
      <alignment horizontal="left" vertical="center" wrapText="1"/>
    </xf>
    <xf numFmtId="0" fontId="1" fillId="7" borderId="33" xfId="0" applyFont="1" applyFill="1" applyBorder="1" applyAlignment="1">
      <alignment horizontal="center"/>
    </xf>
    <xf numFmtId="0" fontId="1" fillId="7" borderId="34" xfId="0" applyFont="1" applyFill="1" applyBorder="1" applyAlignment="1">
      <alignment horizontal="center"/>
    </xf>
    <xf numFmtId="0" fontId="1" fillId="7" borderId="35" xfId="0" applyFont="1" applyFill="1" applyBorder="1" applyAlignment="1">
      <alignment horizontal="center"/>
    </xf>
    <xf numFmtId="0" fontId="0" fillId="9" borderId="51" xfId="0" applyFont="1" applyFill="1" applyBorder="1" applyAlignment="1">
      <alignment horizontal="left" vertical="center" wrapText="1"/>
    </xf>
    <xf numFmtId="0" fontId="0" fillId="9" borderId="46" xfId="0" applyFont="1" applyFill="1" applyBorder="1" applyAlignment="1">
      <alignment horizontal="left" vertical="center" wrapText="1"/>
    </xf>
    <xf numFmtId="0" fontId="0" fillId="9" borderId="47" xfId="0" applyFont="1" applyFill="1" applyBorder="1" applyAlignment="1">
      <alignment horizontal="left" vertical="center" wrapText="1"/>
    </xf>
    <xf numFmtId="0" fontId="0" fillId="9" borderId="52" xfId="0" applyFont="1" applyFill="1" applyBorder="1" applyAlignment="1">
      <alignment horizontal="left" vertical="center" wrapText="1"/>
    </xf>
    <xf numFmtId="0" fontId="0" fillId="9" borderId="0" xfId="0" applyFont="1" applyFill="1" applyBorder="1" applyAlignment="1">
      <alignment horizontal="left" vertical="center" wrapText="1"/>
    </xf>
    <xf numFmtId="0" fontId="0" fillId="9" borderId="53"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5" borderId="51" xfId="0" applyFont="1" applyFill="1" applyBorder="1" applyAlignment="1">
      <alignment horizontal="left" vertical="center" wrapText="1"/>
    </xf>
    <xf numFmtId="0" fontId="0" fillId="5" borderId="46"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5" borderId="5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53"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0" xfId="0" applyFont="1" applyBorder="1" applyAlignment="1">
      <alignment horizontal="left" vertical="center" wrapText="1"/>
    </xf>
    <xf numFmtId="0" fontId="0" fillId="0" borderId="53" xfId="0" applyFont="1" applyBorder="1" applyAlignment="1">
      <alignment horizontal="left" vertical="center" wrapText="1"/>
    </xf>
    <xf numFmtId="0" fontId="9" fillId="4" borderId="51"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9" fillId="4" borderId="47" xfId="0" applyFont="1" applyFill="1" applyBorder="1" applyAlignment="1">
      <alignment horizontal="left" vertical="center" wrapText="1"/>
    </xf>
    <xf numFmtId="0" fontId="9" fillId="4" borderId="52"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2" borderId="51"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47" xfId="0" applyFont="1" applyFill="1" applyBorder="1" applyAlignment="1">
      <alignment horizontal="left" vertical="center" wrapText="1"/>
    </xf>
    <xf numFmtId="0" fontId="9" fillId="2" borderId="5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3"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9" fillId="2" borderId="55"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0" fillId="3" borderId="51" xfId="0" applyFont="1" applyFill="1" applyBorder="1" applyAlignment="1">
      <alignment horizontal="left" vertical="center" wrapText="1"/>
    </xf>
    <xf numFmtId="0" fontId="0" fillId="3" borderId="46" xfId="0" applyFont="1" applyFill="1" applyBorder="1" applyAlignment="1">
      <alignment horizontal="left" vertical="center" wrapText="1"/>
    </xf>
    <xf numFmtId="0" fontId="0" fillId="3" borderId="47" xfId="0" applyFont="1" applyFill="1" applyBorder="1" applyAlignment="1">
      <alignment horizontal="left" vertical="center" wrapText="1"/>
    </xf>
    <xf numFmtId="0" fontId="0" fillId="3" borderId="52"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3" xfId="0" applyFont="1" applyFill="1" applyBorder="1" applyAlignment="1">
      <alignment horizontal="left" vertical="center" wrapText="1"/>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56" xfId="0" applyFont="1" applyBorder="1" applyAlignment="1">
      <alignment horizontal="left" vertical="center" wrapText="1"/>
    </xf>
    <xf numFmtId="0" fontId="2" fillId="3" borderId="25" xfId="0" quotePrefix="1" applyFont="1" applyFill="1" applyBorder="1" applyAlignment="1">
      <alignment horizontal="left"/>
    </xf>
    <xf numFmtId="0" fontId="2" fillId="3" borderId="5" xfId="0" quotePrefix="1" applyFont="1" applyFill="1" applyBorder="1" applyAlignment="1">
      <alignment horizontal="left"/>
    </xf>
    <xf numFmtId="0" fontId="2" fillId="3" borderId="3" xfId="0" quotePrefix="1" applyFont="1" applyFill="1" applyBorder="1" applyAlignment="1">
      <alignment horizontal="left"/>
    </xf>
    <xf numFmtId="0" fontId="2" fillId="3" borderId="25" xfId="0" applyFont="1" applyFill="1" applyBorder="1" applyAlignment="1">
      <alignment horizontal="left"/>
    </xf>
    <xf numFmtId="0" fontId="2" fillId="3" borderId="5" xfId="0" applyFont="1" applyFill="1" applyBorder="1" applyAlignment="1">
      <alignment horizontal="left"/>
    </xf>
    <xf numFmtId="0" fontId="2" fillId="3" borderId="3" xfId="0" applyFont="1" applyFill="1" applyBorder="1" applyAlignment="1">
      <alignment horizontal="left"/>
    </xf>
    <xf numFmtId="0" fontId="2" fillId="3" borderId="20" xfId="0" applyFont="1" applyFill="1" applyBorder="1" applyAlignment="1">
      <alignment horizontal="left"/>
    </xf>
    <xf numFmtId="0" fontId="2" fillId="3" borderId="19" xfId="0" applyFont="1" applyFill="1" applyBorder="1" applyAlignment="1"/>
    <xf numFmtId="0" fontId="2" fillId="3" borderId="28" xfId="0" applyFont="1" applyFill="1" applyBorder="1" applyAlignment="1"/>
    <xf numFmtId="0" fontId="2" fillId="3" borderId="27" xfId="0" applyFont="1" applyFill="1" applyBorder="1" applyAlignment="1"/>
    <xf numFmtId="0" fontId="2" fillId="3" borderId="2" xfId="0" applyFont="1" applyFill="1" applyBorder="1" applyAlignment="1"/>
    <xf numFmtId="0" fontId="2" fillId="3" borderId="5" xfId="0" applyFont="1" applyFill="1" applyBorder="1" applyAlignment="1"/>
    <xf numFmtId="0" fontId="2" fillId="3" borderId="3" xfId="0" applyFont="1" applyFill="1" applyBorder="1" applyAlignment="1"/>
    <xf numFmtId="0" fontId="2" fillId="0" borderId="25"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9" xfId="0" applyFont="1" applyBorder="1" applyAlignment="1">
      <alignment horizontal="left"/>
    </xf>
    <xf numFmtId="0" fontId="2" fillId="0" borderId="1" xfId="0" applyFont="1" applyBorder="1" applyAlignment="1">
      <alignment horizontal="left"/>
    </xf>
    <xf numFmtId="0" fontId="2" fillId="3" borderId="43" xfId="0" quotePrefix="1" applyFont="1" applyFill="1" applyBorder="1" applyAlignment="1"/>
    <xf numFmtId="0" fontId="2" fillId="3" borderId="6" xfId="0" applyFont="1" applyFill="1" applyBorder="1" applyAlignment="1"/>
    <xf numFmtId="0" fontId="2" fillId="3" borderId="14" xfId="0" quotePrefix="1" applyFont="1" applyFill="1" applyBorder="1" applyAlignment="1">
      <alignment horizontal="left"/>
    </xf>
    <xf numFmtId="0" fontId="2" fillId="3" borderId="7" xfId="0" applyFont="1" applyFill="1" applyBorder="1" applyAlignment="1"/>
    <xf numFmtId="0" fontId="2" fillId="3" borderId="13" xfId="0" applyFont="1" applyFill="1" applyBorder="1" applyAlignment="1"/>
    <xf numFmtId="0" fontId="2" fillId="3" borderId="9" xfId="0" quotePrefix="1" applyFont="1" applyFill="1" applyBorder="1" applyAlignment="1"/>
    <xf numFmtId="0" fontId="2" fillId="3" borderId="1" xfId="0" applyFont="1" applyFill="1" applyBorder="1" applyAlignment="1"/>
    <xf numFmtId="0" fontId="2" fillId="0" borderId="34" xfId="0" applyFont="1" applyFill="1" applyBorder="1" applyAlignment="1">
      <alignment horizontal="center"/>
    </xf>
    <xf numFmtId="0" fontId="2" fillId="3" borderId="29" xfId="0" applyFont="1" applyFill="1" applyBorder="1" applyAlignment="1">
      <alignment horizontal="center"/>
    </xf>
    <xf numFmtId="0" fontId="2" fillId="3" borderId="30" xfId="0" applyFont="1" applyFill="1" applyBorder="1" applyAlignment="1">
      <alignment horizontal="center"/>
    </xf>
    <xf numFmtId="0" fontId="2" fillId="3" borderId="36" xfId="0" applyFont="1" applyFill="1" applyBorder="1" applyAlignment="1">
      <alignment horizontal="center"/>
    </xf>
    <xf numFmtId="0" fontId="2" fillId="3" borderId="31" xfId="0" quotePrefix="1" applyFont="1" applyFill="1" applyBorder="1" applyAlignment="1">
      <alignment horizontal="left"/>
    </xf>
    <xf numFmtId="0" fontId="2" fillId="3" borderId="16" xfId="0" quotePrefix="1" applyFont="1" applyFill="1" applyBorder="1" applyAlignment="1">
      <alignment horizontal="left"/>
    </xf>
    <xf numFmtId="0" fontId="2" fillId="3" borderId="32" xfId="0" quotePrefix="1" applyFont="1" applyFill="1" applyBorder="1" applyAlignment="1">
      <alignment horizontal="left"/>
    </xf>
    <xf numFmtId="0" fontId="2" fillId="3" borderId="1" xfId="0" applyFont="1" applyFill="1" applyBorder="1" applyAlignment="1">
      <alignment horizontal="left"/>
    </xf>
    <xf numFmtId="0" fontId="2" fillId="3" borderId="14" xfId="0" applyFont="1" applyFill="1" applyBorder="1" applyAlignment="1">
      <alignment horizontal="left"/>
    </xf>
    <xf numFmtId="0" fontId="2" fillId="3" borderId="37" xfId="0" applyFont="1" applyFill="1" applyBorder="1" applyAlignment="1">
      <alignment horizontal="left"/>
    </xf>
    <xf numFmtId="0" fontId="2" fillId="3" borderId="36" xfId="0" applyFont="1" applyFill="1" applyBorder="1" applyAlignment="1">
      <alignment horizontal="left"/>
    </xf>
    <xf numFmtId="0" fontId="2" fillId="3" borderId="2" xfId="0" applyFont="1" applyFill="1" applyBorder="1" applyAlignment="1">
      <alignment horizontal="left"/>
    </xf>
    <xf numFmtId="0" fontId="2" fillId="3" borderId="29" xfId="0" applyFont="1" applyFill="1" applyBorder="1" applyAlignment="1"/>
    <xf numFmtId="0" fontId="2" fillId="3" borderId="30" xfId="0" applyFont="1" applyFill="1" applyBorder="1" applyAlignment="1"/>
    <xf numFmtId="0" fontId="2" fillId="3" borderId="36" xfId="0" applyFont="1" applyFill="1" applyBorder="1" applyAlignment="1"/>
    <xf numFmtId="0" fontId="2" fillId="3" borderId="29" xfId="0" applyFont="1" applyFill="1" applyBorder="1" applyAlignment="1">
      <alignment horizontal="left"/>
    </xf>
    <xf numFmtId="0" fontId="2" fillId="3" borderId="30" xfId="0" applyFont="1" applyFill="1" applyBorder="1" applyAlignment="1">
      <alignment horizontal="left"/>
    </xf>
    <xf numFmtId="0" fontId="2" fillId="3" borderId="31" xfId="0" applyFont="1" applyFill="1" applyBorder="1" applyAlignment="1">
      <alignment horizontal="left"/>
    </xf>
    <xf numFmtId="0" fontId="2" fillId="3" borderId="16" xfId="0" applyFont="1" applyFill="1" applyBorder="1" applyAlignment="1">
      <alignment horizontal="left"/>
    </xf>
    <xf numFmtId="0" fontId="2" fillId="3" borderId="32" xfId="0" applyFont="1" applyFill="1" applyBorder="1" applyAlignment="1">
      <alignment horizontal="left"/>
    </xf>
    <xf numFmtId="0" fontId="2" fillId="3" borderId="31" xfId="0" applyFont="1" applyFill="1" applyBorder="1" applyAlignment="1"/>
    <xf numFmtId="0" fontId="2" fillId="3" borderId="16" xfId="0" applyFont="1" applyFill="1" applyBorder="1" applyAlignment="1"/>
    <xf numFmtId="0" fontId="2" fillId="3" borderId="32" xfId="0" applyFont="1" applyFill="1" applyBorder="1" applyAlignment="1"/>
    <xf numFmtId="0" fontId="1" fillId="7" borderId="51" xfId="0" applyFont="1" applyFill="1" applyBorder="1" applyAlignment="1">
      <alignment horizontal="center"/>
    </xf>
    <xf numFmtId="0" fontId="1" fillId="7" borderId="46" xfId="0" applyFont="1" applyFill="1" applyBorder="1" applyAlignment="1">
      <alignment horizontal="center"/>
    </xf>
    <xf numFmtId="0" fontId="1" fillId="7" borderId="47" xfId="0" applyFont="1" applyFill="1" applyBorder="1" applyAlignment="1">
      <alignment horizontal="center"/>
    </xf>
    <xf numFmtId="0" fontId="2" fillId="3" borderId="25" xfId="0" applyFont="1" applyFill="1" applyBorder="1" applyAlignment="1"/>
    <xf numFmtId="0" fontId="2" fillId="3" borderId="15" xfId="0" applyFont="1" applyFill="1" applyBorder="1" applyAlignment="1"/>
    <xf numFmtId="0" fontId="2" fillId="0" borderId="9" xfId="0" applyFont="1" applyBorder="1" applyAlignment="1" applyProtection="1">
      <alignment horizontal="left"/>
    </xf>
    <xf numFmtId="0" fontId="2" fillId="0" borderId="1" xfId="0" applyFont="1" applyBorder="1" applyAlignment="1" applyProtection="1">
      <alignment horizontal="left"/>
    </xf>
    <xf numFmtId="0" fontId="2" fillId="0" borderId="10" xfId="0" applyFont="1" applyBorder="1" applyAlignment="1" applyProtection="1">
      <alignment horizontal="left"/>
    </xf>
    <xf numFmtId="0" fontId="2" fillId="3" borderId="6" xfId="0" applyFont="1" applyFill="1" applyBorder="1" applyAlignment="1">
      <alignment horizontal="left"/>
    </xf>
    <xf numFmtId="0" fontId="2" fillId="3" borderId="7" xfId="0" applyFont="1" applyFill="1" applyBorder="1" applyAlignment="1">
      <alignment horizontal="center"/>
    </xf>
    <xf numFmtId="0" fontId="2" fillId="3" borderId="13" xfId="0" applyFont="1" applyFill="1" applyBorder="1" applyAlignment="1">
      <alignment horizontal="center"/>
    </xf>
    <xf numFmtId="0" fontId="0" fillId="0" borderId="5" xfId="0" applyFill="1" applyBorder="1" applyAlignment="1">
      <alignment horizontal="left"/>
    </xf>
    <xf numFmtId="0" fontId="0" fillId="0" borderId="3" xfId="0" applyFill="1" applyBorder="1" applyAlignment="1">
      <alignment horizontal="left"/>
    </xf>
    <xf numFmtId="0" fontId="2" fillId="0" borderId="31" xfId="0" applyFont="1" applyBorder="1" applyAlignment="1">
      <alignment horizontal="left"/>
    </xf>
    <xf numFmtId="0" fontId="2" fillId="0" borderId="16" xfId="0" applyFont="1" applyBorder="1" applyAlignment="1">
      <alignment horizontal="left"/>
    </xf>
    <xf numFmtId="0" fontId="2" fillId="0" borderId="32" xfId="0" applyFont="1" applyBorder="1" applyAlignment="1">
      <alignment horizontal="left"/>
    </xf>
    <xf numFmtId="0" fontId="7" fillId="2" borderId="33" xfId="0" applyFont="1" applyFill="1" applyBorder="1" applyAlignment="1">
      <alignment horizontal="center"/>
    </xf>
    <xf numFmtId="0" fontId="7" fillId="2" borderId="34" xfId="0" applyFont="1" applyFill="1" applyBorder="1" applyAlignment="1">
      <alignment horizontal="center"/>
    </xf>
    <xf numFmtId="0" fontId="7" fillId="2" borderId="35" xfId="0" applyFont="1" applyFill="1" applyBorder="1" applyAlignment="1">
      <alignment horizontal="center"/>
    </xf>
    <xf numFmtId="0" fontId="1" fillId="7" borderId="21" xfId="0" applyFont="1" applyFill="1" applyBorder="1" applyAlignment="1">
      <alignment horizontal="center"/>
    </xf>
    <xf numFmtId="0" fontId="1" fillId="7" borderId="23" xfId="0" applyFont="1" applyFill="1" applyBorder="1" applyAlignment="1">
      <alignment horizontal="center"/>
    </xf>
    <xf numFmtId="0" fontId="2" fillId="3" borderId="17" xfId="0" applyFont="1" applyFill="1" applyBorder="1" applyAlignment="1">
      <alignment horizontal="left"/>
    </xf>
    <xf numFmtId="0" fontId="2" fillId="0" borderId="2"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20" xfId="0" applyFont="1" applyBorder="1" applyAlignment="1" applyProtection="1">
      <alignment horizontal="left"/>
      <protection locked="0"/>
    </xf>
    <xf numFmtId="0" fontId="2" fillId="8" borderId="1"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20" xfId="0" applyFont="1" applyFill="1" applyBorder="1" applyAlignment="1" applyProtection="1">
      <alignment horizontal="left"/>
      <protection locked="0"/>
    </xf>
    <xf numFmtId="0" fontId="2" fillId="0" borderId="18" xfId="0" applyFont="1" applyFill="1" applyBorder="1" applyAlignment="1" applyProtection="1">
      <alignment horizontal="left"/>
      <protection locked="0"/>
    </xf>
    <xf numFmtId="0" fontId="2" fillId="3" borderId="9" xfId="0" applyFont="1" applyFill="1" applyBorder="1" applyAlignment="1">
      <alignment horizontal="left"/>
    </xf>
    <xf numFmtId="0" fontId="4" fillId="0" borderId="46" xfId="0" applyFont="1" applyFill="1" applyBorder="1" applyAlignment="1">
      <alignment horizontal="center"/>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8" borderId="2" xfId="0" applyFont="1" applyFill="1" applyBorder="1" applyAlignment="1" applyProtection="1">
      <alignment horizontal="left"/>
      <protection locked="0"/>
    </xf>
    <xf numFmtId="0" fontId="2" fillId="8" borderId="5" xfId="0" applyFont="1" applyFill="1" applyBorder="1" applyAlignment="1" applyProtection="1">
      <alignment horizontal="left"/>
      <protection locked="0"/>
    </xf>
    <xf numFmtId="0" fontId="2" fillId="8" borderId="3" xfId="0" applyFont="1" applyFill="1" applyBorder="1" applyAlignment="1" applyProtection="1">
      <alignment horizontal="left"/>
      <protection locked="0"/>
    </xf>
    <xf numFmtId="0" fontId="2" fillId="3" borderId="2" xfId="0" quotePrefix="1" applyFont="1" applyFill="1" applyBorder="1" applyAlignment="1">
      <alignment horizontal="left"/>
    </xf>
    <xf numFmtId="0" fontId="2" fillId="3" borderId="15" xfId="0" applyFont="1" applyFill="1" applyBorder="1" applyAlignment="1">
      <alignment horizontal="left"/>
    </xf>
    <xf numFmtId="0" fontId="2" fillId="0" borderId="1" xfId="0" quotePrefix="1" applyFont="1" applyFill="1" applyBorder="1" applyAlignment="1" applyProtection="1">
      <alignment horizontal="left"/>
      <protection locked="0"/>
    </xf>
    <xf numFmtId="0" fontId="2" fillId="3" borderId="25" xfId="0" applyFont="1" applyFill="1" applyBorder="1" applyAlignment="1">
      <alignment horizontal="center"/>
    </xf>
    <xf numFmtId="0" fontId="2" fillId="3" borderId="5" xfId="0" applyFont="1" applyFill="1" applyBorder="1" applyAlignment="1">
      <alignment horizontal="center"/>
    </xf>
    <xf numFmtId="0" fontId="2" fillId="3" borderId="3" xfId="0" applyFont="1" applyFill="1" applyBorder="1" applyAlignment="1">
      <alignment horizontal="center"/>
    </xf>
    <xf numFmtId="0" fontId="2" fillId="0" borderId="14" xfId="0" applyFont="1" applyBorder="1" applyAlignment="1" applyProtection="1">
      <alignment horizontal="left"/>
      <protection locked="0"/>
    </xf>
    <xf numFmtId="0" fontId="2" fillId="0" borderId="19" xfId="0" applyFont="1" applyFill="1" applyBorder="1" applyAlignment="1" applyProtection="1">
      <alignment horizontal="left"/>
    </xf>
    <xf numFmtId="0" fontId="2" fillId="0" borderId="27" xfId="0" applyFont="1" applyFill="1" applyBorder="1" applyAlignment="1" applyProtection="1">
      <alignment horizontal="left"/>
    </xf>
    <xf numFmtId="0" fontId="2" fillId="0" borderId="55" xfId="0" applyFont="1" applyFill="1" applyBorder="1" applyAlignment="1">
      <alignment horizontal="center"/>
    </xf>
    <xf numFmtId="0" fontId="1" fillId="0" borderId="59" xfId="0" applyFont="1" applyFill="1" applyBorder="1" applyAlignment="1">
      <alignment horizontal="center"/>
    </xf>
    <xf numFmtId="0" fontId="2" fillId="0" borderId="37" xfId="0" applyFont="1" applyBorder="1" applyAlignment="1">
      <alignment horizontal="right"/>
    </xf>
    <xf numFmtId="0" fontId="2" fillId="0" borderId="36" xfId="0" applyFont="1" applyBorder="1" applyAlignment="1">
      <alignment horizontal="right"/>
    </xf>
    <xf numFmtId="0" fontId="2" fillId="3" borderId="9" xfId="0" quotePrefix="1" applyFont="1" applyFill="1" applyBorder="1" applyAlignment="1">
      <alignment horizontal="left"/>
    </xf>
    <xf numFmtId="0" fontId="2" fillId="3" borderId="1" xfId="0" quotePrefix="1" applyFont="1" applyFill="1" applyBorder="1" applyAlignment="1">
      <alignment horizontal="left"/>
    </xf>
    <xf numFmtId="0" fontId="2" fillId="3" borderId="11" xfId="0" quotePrefix="1" applyFont="1" applyFill="1" applyBorder="1" applyAlignment="1">
      <alignment horizontal="left"/>
    </xf>
    <xf numFmtId="0" fontId="2" fillId="3" borderId="9" xfId="0" applyFont="1" applyFill="1" applyBorder="1" applyAlignment="1"/>
    <xf numFmtId="0" fontId="2" fillId="0" borderId="14" xfId="0" quotePrefix="1" applyFont="1" applyFill="1" applyBorder="1" applyAlignment="1" applyProtection="1">
      <alignment horizontal="left"/>
      <protection locked="0"/>
    </xf>
    <xf numFmtId="0" fontId="2" fillId="0" borderId="12" xfId="0" quotePrefix="1" applyFont="1" applyFill="1" applyBorder="1" applyAlignment="1" applyProtection="1">
      <alignment horizontal="left"/>
      <protection locked="0"/>
    </xf>
    <xf numFmtId="0" fontId="2" fillId="0" borderId="11" xfId="0" applyFont="1" applyBorder="1" applyAlignment="1" applyProtection="1">
      <alignment horizontal="left"/>
    </xf>
    <xf numFmtId="0" fontId="2" fillId="0" borderId="14" xfId="0" applyFont="1" applyBorder="1" applyAlignment="1" applyProtection="1">
      <alignment horizontal="left"/>
    </xf>
    <xf numFmtId="0" fontId="2" fillId="0" borderId="12" xfId="0" applyFont="1" applyBorder="1" applyAlignment="1" applyProtection="1">
      <alignment horizontal="left"/>
    </xf>
    <xf numFmtId="0" fontId="3" fillId="0" borderId="29" xfId="0" applyFont="1" applyFill="1" applyBorder="1" applyAlignment="1">
      <alignment horizontal="left"/>
    </xf>
    <xf numFmtId="0" fontId="3" fillId="0" borderId="30" xfId="0" applyFont="1" applyFill="1" applyBorder="1" applyAlignment="1">
      <alignment horizontal="left"/>
    </xf>
    <xf numFmtId="0" fontId="2" fillId="0" borderId="42" xfId="0" applyFont="1" applyBorder="1" applyAlignment="1">
      <alignment horizontal="left"/>
    </xf>
    <xf numFmtId="0" fontId="2" fillId="0" borderId="28" xfId="0" applyFont="1" applyBorder="1" applyAlignment="1">
      <alignment horizontal="left"/>
    </xf>
    <xf numFmtId="0" fontId="2" fillId="0" borderId="27" xfId="0" applyFont="1" applyBorder="1" applyAlignment="1">
      <alignment horizontal="left"/>
    </xf>
    <xf numFmtId="0" fontId="2" fillId="0" borderId="19" xfId="0" applyFont="1" applyBorder="1" applyAlignment="1" applyProtection="1">
      <alignment horizontal="left"/>
    </xf>
    <xf numFmtId="0" fontId="2" fillId="0" borderId="27" xfId="0" applyFont="1" applyBorder="1" applyAlignment="1" applyProtection="1">
      <alignment horizontal="left"/>
    </xf>
    <xf numFmtId="0" fontId="2" fillId="0" borderId="2" xfId="0" applyFont="1" applyBorder="1" applyAlignment="1" applyProtection="1">
      <alignment horizontal="left"/>
    </xf>
    <xf numFmtId="0" fontId="2" fillId="0" borderId="3" xfId="0" applyFont="1" applyBorder="1" applyAlignment="1" applyProtection="1">
      <alignment horizontal="left"/>
    </xf>
    <xf numFmtId="0" fontId="2" fillId="0" borderId="15" xfId="0" applyFont="1" applyBorder="1" applyAlignment="1" applyProtection="1">
      <alignment horizontal="left"/>
    </xf>
    <xf numFmtId="0" fontId="2" fillId="0" borderId="32" xfId="0" applyFont="1" applyBorder="1" applyAlignment="1" applyProtection="1">
      <alignment horizontal="left"/>
    </xf>
    <xf numFmtId="0" fontId="2" fillId="0" borderId="16" xfId="0" applyFont="1" applyBorder="1" applyAlignment="1" applyProtection="1">
      <alignment horizontal="left"/>
    </xf>
    <xf numFmtId="0" fontId="2" fillId="0" borderId="38" xfId="0" applyFont="1" applyBorder="1" applyAlignment="1" applyProtection="1">
      <alignment horizontal="left"/>
    </xf>
    <xf numFmtId="0" fontId="3" fillId="0" borderId="28" xfId="0" applyFont="1" applyFill="1" applyBorder="1" applyAlignment="1" applyProtection="1">
      <alignment horizontal="left"/>
    </xf>
    <xf numFmtId="0" fontId="3" fillId="0" borderId="27" xfId="0" applyFont="1" applyFill="1" applyBorder="1" applyAlignment="1" applyProtection="1">
      <alignment horizontal="left"/>
    </xf>
    <xf numFmtId="0" fontId="2" fillId="3" borderId="24" xfId="0" applyFont="1" applyFill="1" applyBorder="1" applyAlignment="1"/>
    <xf numFmtId="0" fontId="2" fillId="3" borderId="26" xfId="0" applyFont="1" applyFill="1" applyBorder="1" applyAlignment="1"/>
    <xf numFmtId="0" fontId="2" fillId="0" borderId="2"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15" xfId="0" applyFont="1" applyFill="1" applyBorder="1" applyAlignment="1" applyProtection="1">
      <alignment horizontal="left"/>
    </xf>
    <xf numFmtId="0" fontId="2" fillId="0" borderId="32" xfId="0" applyFont="1" applyFill="1" applyBorder="1" applyAlignment="1" applyProtection="1">
      <alignment horizontal="left"/>
    </xf>
    <xf numFmtId="0" fontId="2" fillId="0" borderId="7" xfId="0" applyFont="1" applyBorder="1" applyAlignment="1" applyProtection="1">
      <alignment horizontal="left"/>
    </xf>
    <xf numFmtId="0" fontId="2" fillId="0" borderId="13" xfId="0" applyFont="1" applyBorder="1" applyAlignment="1" applyProtection="1">
      <alignment horizontal="left"/>
    </xf>
    <xf numFmtId="0" fontId="2" fillId="0" borderId="8" xfId="0" applyFont="1" applyBorder="1" applyAlignment="1" applyProtection="1">
      <alignment horizontal="left"/>
    </xf>
    <xf numFmtId="0" fontId="2" fillId="0" borderId="25"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2" fillId="0" borderId="31"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38"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60" xfId="0" applyFont="1" applyBorder="1" applyAlignment="1" applyProtection="1">
      <alignment horizontal="left"/>
      <protection locked="0"/>
    </xf>
    <xf numFmtId="0" fontId="1" fillId="7" borderId="33" xfId="0" applyFont="1" applyFill="1" applyBorder="1" applyAlignment="1" applyProtection="1">
      <alignment horizontal="center"/>
      <protection locked="0"/>
    </xf>
    <xf numFmtId="0" fontId="1" fillId="7" borderId="34" xfId="0" applyFont="1" applyFill="1" applyBorder="1" applyAlignment="1" applyProtection="1">
      <alignment horizontal="center"/>
      <protection locked="0"/>
    </xf>
    <xf numFmtId="0" fontId="1" fillId="7" borderId="35" xfId="0" applyFont="1" applyFill="1" applyBorder="1" applyAlignment="1" applyProtection="1">
      <alignment horizontal="center"/>
      <protection locked="0"/>
    </xf>
    <xf numFmtId="0" fontId="2" fillId="0" borderId="29"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10" fillId="3" borderId="1" xfId="0" applyFont="1" applyFill="1" applyBorder="1" applyAlignment="1">
      <alignment horizontal="center"/>
    </xf>
    <xf numFmtId="0" fontId="0" fillId="8" borderId="1" xfId="0" applyFill="1" applyBorder="1" applyAlignment="1" applyProtection="1">
      <protection locked="0"/>
    </xf>
    <xf numFmtId="0" fontId="0" fillId="0" borderId="1" xfId="0" applyBorder="1" applyAlignment="1" applyProtection="1">
      <alignment horizontal="left"/>
    </xf>
    <xf numFmtId="0" fontId="0" fillId="0" borderId="9" xfId="0" applyBorder="1" applyAlignment="1" applyProtection="1">
      <alignment horizontal="left"/>
    </xf>
    <xf numFmtId="0" fontId="0" fillId="0" borderId="2" xfId="0" applyFill="1" applyBorder="1" applyAlignment="1" applyProtection="1">
      <alignment horizontal="center"/>
    </xf>
    <xf numFmtId="0" fontId="0" fillId="0" borderId="3" xfId="0" applyFill="1" applyBorder="1" applyAlignment="1" applyProtection="1">
      <alignment horizontal="center"/>
    </xf>
    <xf numFmtId="0" fontId="10" fillId="8" borderId="5" xfId="0" applyFont="1" applyFill="1" applyBorder="1" applyAlignment="1">
      <alignment horizontal="left"/>
    </xf>
    <xf numFmtId="0" fontId="10" fillId="8" borderId="3" xfId="0" applyFont="1" applyFill="1" applyBorder="1" applyAlignment="1">
      <alignment horizontal="left"/>
    </xf>
    <xf numFmtId="0" fontId="0" fillId="0" borderId="11" xfId="0" applyBorder="1" applyAlignment="1" applyProtection="1">
      <alignment horizontal="left"/>
    </xf>
    <xf numFmtId="0" fontId="0" fillId="0" borderId="14" xfId="0" applyBorder="1" applyAlignment="1" applyProtection="1">
      <alignment horizontal="left"/>
    </xf>
    <xf numFmtId="0" fontId="9" fillId="7" borderId="1" xfId="0" applyFont="1" applyFill="1" applyBorder="1" applyAlignment="1" applyProtection="1">
      <alignment horizontal="center"/>
    </xf>
    <xf numFmtId="0" fontId="0" fillId="0" borderId="1" xfId="0" applyBorder="1" applyAlignment="1" applyProtection="1">
      <protection locked="0"/>
    </xf>
    <xf numFmtId="0" fontId="9" fillId="5" borderId="7" xfId="0" applyFont="1" applyFill="1" applyBorder="1" applyAlignment="1" applyProtection="1">
      <alignment horizontal="center"/>
    </xf>
    <xf numFmtId="0" fontId="9" fillId="5" borderId="13" xfId="0" applyFont="1" applyFill="1" applyBorder="1" applyAlignment="1" applyProtection="1">
      <alignment horizontal="center"/>
    </xf>
    <xf numFmtId="0" fontId="9" fillId="10" borderId="13" xfId="0" applyFont="1" applyFill="1" applyBorder="1" applyAlignment="1" applyProtection="1">
      <alignment horizontal="center"/>
    </xf>
    <xf numFmtId="0" fontId="9" fillId="2" borderId="13" xfId="0" applyFont="1" applyFill="1" applyBorder="1" applyAlignment="1" applyProtection="1">
      <alignment horizontal="center"/>
    </xf>
    <xf numFmtId="0" fontId="2" fillId="0" borderId="37" xfId="0" applyFont="1" applyFill="1" applyBorder="1" applyAlignment="1" applyProtection="1">
      <alignment horizontal="left"/>
      <protection locked="0"/>
    </xf>
    <xf numFmtId="0" fontId="2" fillId="0" borderId="30" xfId="0" applyFont="1" applyFill="1" applyBorder="1" applyAlignment="1" applyProtection="1">
      <alignment horizontal="left"/>
      <protection locked="0"/>
    </xf>
    <xf numFmtId="0" fontId="2" fillId="0" borderId="40" xfId="0" applyFont="1" applyFill="1" applyBorder="1" applyAlignment="1" applyProtection="1">
      <alignment horizontal="left"/>
      <protection locked="0"/>
    </xf>
    <xf numFmtId="0" fontId="10" fillId="0" borderId="0" xfId="0" applyFont="1" applyFill="1" applyBorder="1" applyAlignment="1" applyProtection="1">
      <alignment horizontal="center"/>
    </xf>
    <xf numFmtId="0" fontId="2" fillId="0" borderId="25" xfId="0" quotePrefix="1" applyFont="1" applyBorder="1" applyAlignment="1" applyProtection="1">
      <alignment horizontal="left"/>
      <protection locked="0"/>
    </xf>
    <xf numFmtId="0" fontId="0" fillId="2" borderId="41" xfId="0" applyFill="1" applyBorder="1" applyAlignment="1">
      <alignment horizontal="center"/>
    </xf>
    <xf numFmtId="0" fontId="0" fillId="2" borderId="61" xfId="0" applyFill="1" applyBorder="1" applyAlignment="1">
      <alignment horizontal="center"/>
    </xf>
    <xf numFmtId="0" fontId="0" fillId="2" borderId="18" xfId="0" applyFill="1" applyBorder="1" applyAlignment="1">
      <alignment horizontal="center"/>
    </xf>
    <xf numFmtId="0" fontId="5" fillId="7" borderId="25" xfId="0" applyFont="1" applyFill="1" applyBorder="1" applyAlignment="1">
      <alignment horizontal="center"/>
    </xf>
    <xf numFmtId="0" fontId="5" fillId="7" borderId="39" xfId="0" applyFont="1" applyFill="1" applyBorder="1" applyAlignment="1">
      <alignment horizontal="center"/>
    </xf>
    <xf numFmtId="0" fontId="5" fillId="7" borderId="7" xfId="0" applyFont="1" applyFill="1" applyBorder="1" applyAlignment="1">
      <alignment horizontal="center"/>
    </xf>
    <xf numFmtId="0" fontId="5" fillId="7" borderId="8" xfId="0" applyFont="1" applyFill="1" applyBorder="1" applyAlignment="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5" fillId="7" borderId="57" xfId="0" applyFont="1" applyFill="1" applyBorder="1" applyAlignment="1">
      <alignment horizontal="center"/>
    </xf>
    <xf numFmtId="0" fontId="5" fillId="7" borderId="58" xfId="0" applyFont="1" applyFill="1" applyBorder="1" applyAlignment="1">
      <alignment horizontal="center"/>
    </xf>
    <xf numFmtId="0" fontId="5" fillId="7" borderId="25" xfId="0" applyFont="1" applyFill="1" applyBorder="1" applyAlignment="1">
      <alignment horizontal="center" vertical="center"/>
    </xf>
    <xf numFmtId="0" fontId="5" fillId="7" borderId="39" xfId="0" applyFont="1" applyFill="1" applyBorder="1" applyAlignment="1">
      <alignment horizontal="center" vertical="center"/>
    </xf>
    <xf numFmtId="0" fontId="5" fillId="7" borderId="21" xfId="0" applyFont="1" applyFill="1" applyBorder="1" applyAlignment="1">
      <alignment horizontal="center"/>
    </xf>
    <xf numFmtId="0" fontId="5" fillId="7" borderId="23" xfId="0" applyFont="1" applyFill="1" applyBorder="1" applyAlignment="1">
      <alignment horizont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2" fillId="3" borderId="11" xfId="0" applyFont="1" applyFill="1" applyBorder="1" applyAlignment="1">
      <alignment horizontal="left"/>
    </xf>
    <xf numFmtId="0" fontId="2" fillId="3" borderId="7" xfId="0" applyFont="1" applyFill="1" applyBorder="1" applyAlignment="1">
      <alignment horizontal="left"/>
    </xf>
    <xf numFmtId="0" fontId="2" fillId="3" borderId="13" xfId="0" applyFont="1" applyFill="1" applyBorder="1" applyAlignment="1">
      <alignment horizontal="left"/>
    </xf>
    <xf numFmtId="0" fontId="5" fillId="7" borderId="21"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0" fillId="3" borderId="17" xfId="0" applyFill="1" applyBorder="1" applyAlignment="1">
      <alignment horizontal="left"/>
    </xf>
    <xf numFmtId="0" fontId="0" fillId="3" borderId="20" xfId="0" applyFill="1" applyBorder="1" applyAlignment="1">
      <alignment horizontal="left"/>
    </xf>
    <xf numFmtId="0" fontId="0" fillId="3" borderId="9" xfId="0" applyFill="1" applyBorder="1" applyAlignment="1">
      <alignment horizontal="left"/>
    </xf>
    <xf numFmtId="0" fontId="0" fillId="3" borderId="1" xfId="0" applyFill="1" applyBorder="1" applyAlignment="1">
      <alignment horizontal="left"/>
    </xf>
    <xf numFmtId="0" fontId="2" fillId="0" borderId="0" xfId="0" applyFont="1" applyFill="1" applyBorder="1" applyAlignment="1">
      <alignment horizontal="center" vertical="center"/>
    </xf>
    <xf numFmtId="0" fontId="5" fillId="0" borderId="0" xfId="0" applyFont="1" applyFill="1" applyBorder="1" applyAlignment="1">
      <alignment horizontal="left"/>
    </xf>
    <xf numFmtId="0" fontId="0" fillId="0" borderId="7" xfId="0" applyBorder="1" applyAlignment="1">
      <alignment horizontal="left" wrapText="1"/>
    </xf>
    <xf numFmtId="0" fontId="0" fillId="0" borderId="13"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4" xfId="0" applyBorder="1" applyAlignment="1">
      <alignment horizontal="left" wrapText="1"/>
    </xf>
    <xf numFmtId="0" fontId="0" fillId="0" borderId="12" xfId="0" applyBorder="1" applyAlignment="1">
      <alignment horizontal="left" wrapText="1"/>
    </xf>
    <xf numFmtId="0" fontId="0" fillId="3" borderId="43" xfId="0" applyFill="1" applyBorder="1" applyAlignment="1">
      <alignment horizontal="left"/>
    </xf>
    <xf numFmtId="0" fontId="0" fillId="3" borderId="6" xfId="0" applyFill="1" applyBorder="1" applyAlignment="1">
      <alignment horizontal="left"/>
    </xf>
    <xf numFmtId="0" fontId="14" fillId="5" borderId="54" xfId="0" applyFont="1" applyFill="1" applyBorder="1" applyAlignment="1">
      <alignment horizontal="center"/>
    </xf>
    <xf numFmtId="0" fontId="14" fillId="5" borderId="55" xfId="0" applyFont="1" applyFill="1" applyBorder="1" applyAlignment="1">
      <alignment horizontal="center"/>
    </xf>
    <xf numFmtId="0" fontId="14" fillId="5" borderId="56" xfId="0" applyFont="1" applyFill="1" applyBorder="1" applyAlignment="1">
      <alignment horizontal="center"/>
    </xf>
    <xf numFmtId="0" fontId="13" fillId="5" borderId="51" xfId="0" applyFont="1" applyFill="1" applyBorder="1" applyAlignment="1">
      <alignment horizontal="center"/>
    </xf>
    <xf numFmtId="0" fontId="13" fillId="5" borderId="46" xfId="0" applyFont="1" applyFill="1" applyBorder="1" applyAlignment="1">
      <alignment horizontal="center"/>
    </xf>
    <xf numFmtId="0" fontId="13" fillId="5" borderId="47" xfId="0" applyFont="1" applyFill="1" applyBorder="1" applyAlignment="1">
      <alignment horizontal="center"/>
    </xf>
    <xf numFmtId="0" fontId="0" fillId="0" borderId="0" xfId="0" applyAlignment="1">
      <alignment horizontal="left"/>
    </xf>
    <xf numFmtId="0" fontId="0" fillId="3" borderId="25" xfId="0" applyFill="1" applyBorder="1" applyAlignment="1">
      <alignment horizontal="left"/>
    </xf>
    <xf numFmtId="0" fontId="0" fillId="3" borderId="3" xfId="0" applyFill="1" applyBorder="1" applyAlignment="1">
      <alignment horizontal="left"/>
    </xf>
    <xf numFmtId="0" fontId="6" fillId="2" borderId="31" xfId="0" applyFont="1" applyFill="1" applyBorder="1" applyAlignment="1">
      <alignment horizontal="left"/>
    </xf>
    <xf numFmtId="0" fontId="6" fillId="2" borderId="16" xfId="0" applyFont="1" applyFill="1" applyBorder="1" applyAlignment="1">
      <alignment horizontal="left"/>
    </xf>
    <xf numFmtId="0" fontId="6" fillId="2" borderId="38" xfId="0" applyFont="1" applyFill="1" applyBorder="1" applyAlignment="1">
      <alignment horizontal="left"/>
    </xf>
    <xf numFmtId="0" fontId="5" fillId="7" borderId="44" xfId="0" applyFont="1" applyFill="1" applyBorder="1" applyAlignment="1">
      <alignment horizontal="center" vertical="center"/>
    </xf>
    <xf numFmtId="0" fontId="5" fillId="7" borderId="34" xfId="0" applyFont="1" applyFill="1" applyBorder="1" applyAlignment="1">
      <alignment horizontal="center" vertical="center"/>
    </xf>
    <xf numFmtId="0" fontId="5" fillId="7" borderId="35"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40" xfId="0" applyFont="1" applyFill="1" applyBorder="1" applyAlignment="1">
      <alignment horizontal="center" vertical="center"/>
    </xf>
    <xf numFmtId="0" fontId="5" fillId="7" borderId="29" xfId="0" applyFont="1" applyFill="1" applyBorder="1" applyAlignment="1">
      <alignment horizontal="center" vertical="center"/>
    </xf>
    <xf numFmtId="0" fontId="5" fillId="7" borderId="30" xfId="0" applyFont="1" applyFill="1" applyBorder="1" applyAlignment="1">
      <alignment horizontal="center" vertical="center"/>
    </xf>
    <xf numFmtId="0" fontId="5" fillId="7" borderId="40" xfId="0" applyFont="1" applyFill="1" applyBorder="1" applyAlignment="1">
      <alignment horizontal="center" vertical="center"/>
    </xf>
    <xf numFmtId="0" fontId="2" fillId="2" borderId="41" xfId="0" applyFont="1" applyFill="1" applyBorder="1" applyAlignment="1">
      <alignment horizontal="center"/>
    </xf>
    <xf numFmtId="0" fontId="2" fillId="2" borderId="18" xfId="0" applyFont="1" applyFill="1" applyBorder="1" applyAlignment="1">
      <alignment horizontal="center"/>
    </xf>
    <xf numFmtId="0" fontId="0" fillId="8" borderId="1" xfId="0" applyFill="1" applyBorder="1" applyAlignment="1">
      <alignment horizontal="left"/>
    </xf>
    <xf numFmtId="0" fontId="0" fillId="3" borderId="2" xfId="0" applyFill="1" applyBorder="1" applyAlignment="1">
      <alignment horizontal="left"/>
    </xf>
    <xf numFmtId="0" fontId="11" fillId="0" borderId="0" xfId="0" quotePrefix="1" applyFont="1" applyAlignment="1">
      <alignment horizontal="left"/>
    </xf>
    <xf numFmtId="0" fontId="9" fillId="7" borderId="1" xfId="0" applyFont="1" applyFill="1" applyBorder="1" applyAlignment="1">
      <alignment horizont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0" borderId="9" xfId="0" applyBorder="1" applyAlignment="1" applyProtection="1">
      <alignment horizontal="left"/>
      <protection locked="0"/>
    </xf>
    <xf numFmtId="0" fontId="0" fillId="0" borderId="1" xfId="0" applyBorder="1" applyAlignment="1" applyProtection="1">
      <alignment horizontal="left"/>
      <protection locked="0"/>
    </xf>
    <xf numFmtId="0" fontId="0" fillId="0" borderId="10" xfId="0" applyBorder="1" applyAlignment="1" applyProtection="1">
      <alignment horizontal="left"/>
      <protection locked="0"/>
    </xf>
    <xf numFmtId="0" fontId="0" fillId="0" borderId="7" xfId="0" applyFont="1" applyBorder="1" applyAlignment="1" applyProtection="1">
      <alignment horizontal="left"/>
      <protection locked="0"/>
    </xf>
    <xf numFmtId="0" fontId="0" fillId="0" borderId="13" xfId="0" applyFont="1" applyBorder="1" applyAlignment="1" applyProtection="1">
      <alignment horizontal="left"/>
      <protection locked="0"/>
    </xf>
    <xf numFmtId="0" fontId="0" fillId="0" borderId="8" xfId="0" applyFont="1" applyBorder="1" applyAlignment="1" applyProtection="1">
      <alignment horizontal="left"/>
      <protection locked="0"/>
    </xf>
    <xf numFmtId="0" fontId="0" fillId="0" borderId="9" xfId="0" applyFont="1" applyBorder="1" applyAlignment="1" applyProtection="1">
      <alignment horizontal="left"/>
      <protection locked="0"/>
    </xf>
    <xf numFmtId="0" fontId="0" fillId="0" borderId="1" xfId="0" applyFont="1" applyBorder="1" applyAlignment="1" applyProtection="1">
      <alignment horizontal="left"/>
      <protection locked="0"/>
    </xf>
    <xf numFmtId="0" fontId="0" fillId="0" borderId="10" xfId="0" applyFont="1" applyBorder="1" applyAlignment="1" applyProtection="1">
      <alignment horizontal="left"/>
      <protection locked="0"/>
    </xf>
    <xf numFmtId="0" fontId="0" fillId="0" borderId="25" xfId="0" applyBorder="1" applyAlignment="1" applyProtection="1">
      <alignment horizontal="left"/>
      <protection locked="0"/>
    </xf>
    <xf numFmtId="0" fontId="0" fillId="0" borderId="5" xfId="0" applyBorder="1" applyAlignment="1" applyProtection="1">
      <alignment horizontal="left"/>
      <protection locked="0"/>
    </xf>
    <xf numFmtId="0" fontId="0" fillId="0" borderId="39" xfId="0" applyBorder="1" applyAlignment="1" applyProtection="1">
      <alignment horizontal="left"/>
      <protection locked="0"/>
    </xf>
    <xf numFmtId="0" fontId="0" fillId="0" borderId="11" xfId="0" applyBorder="1" applyAlignment="1" applyProtection="1">
      <alignment horizontal="left"/>
      <protection locked="0"/>
    </xf>
    <xf numFmtId="0" fontId="0" fillId="0" borderId="14" xfId="0" applyBorder="1" applyAlignment="1" applyProtection="1">
      <alignment horizontal="left"/>
      <protection locked="0"/>
    </xf>
    <xf numFmtId="0" fontId="0" fillId="0" borderId="12" xfId="0" applyBorder="1" applyAlignment="1" applyProtection="1">
      <alignment horizontal="left"/>
      <protection locked="0"/>
    </xf>
    <xf numFmtId="0" fontId="13" fillId="4" borderId="51" xfId="0" applyFont="1" applyFill="1" applyBorder="1" applyAlignment="1">
      <alignment horizontal="center"/>
    </xf>
    <xf numFmtId="0" fontId="13" fillId="4" borderId="46" xfId="0" applyFont="1" applyFill="1" applyBorder="1" applyAlignment="1">
      <alignment horizontal="center"/>
    </xf>
    <xf numFmtId="0" fontId="13" fillId="4" borderId="47" xfId="0" applyFont="1" applyFill="1" applyBorder="1" applyAlignment="1">
      <alignment horizontal="center"/>
    </xf>
    <xf numFmtId="0" fontId="14" fillId="4" borderId="54" xfId="0" applyFont="1" applyFill="1" applyBorder="1" applyAlignment="1">
      <alignment horizontal="center"/>
    </xf>
    <xf numFmtId="0" fontId="14" fillId="4" borderId="55" xfId="0" applyFont="1" applyFill="1" applyBorder="1" applyAlignment="1">
      <alignment horizontal="center"/>
    </xf>
    <xf numFmtId="0" fontId="14" fillId="4" borderId="56" xfId="0" applyFont="1" applyFill="1" applyBorder="1" applyAlignment="1">
      <alignment horizontal="center"/>
    </xf>
    <xf numFmtId="0" fontId="0" fillId="0" borderId="25" xfId="0" quotePrefix="1" applyBorder="1" applyAlignment="1" applyProtection="1">
      <alignment horizontal="left"/>
      <protection locked="0"/>
    </xf>
    <xf numFmtId="0" fontId="0" fillId="0" borderId="25" xfId="0" applyFont="1" applyBorder="1" applyAlignment="1" applyProtection="1">
      <alignment horizontal="left"/>
      <protection locked="0"/>
    </xf>
    <xf numFmtId="0" fontId="0" fillId="0" borderId="5" xfId="0" applyFont="1" applyBorder="1" applyAlignment="1" applyProtection="1">
      <alignment horizontal="left"/>
      <protection locked="0"/>
    </xf>
    <xf numFmtId="0" fontId="0" fillId="0" borderId="39" xfId="0" applyFont="1" applyBorder="1" applyAlignment="1" applyProtection="1">
      <alignment horizontal="left"/>
      <protection locked="0"/>
    </xf>
    <xf numFmtId="0" fontId="0" fillId="0" borderId="9" xfId="0" quotePrefix="1" applyBorder="1" applyAlignment="1" applyProtection="1">
      <alignment horizontal="left"/>
      <protection locked="0"/>
    </xf>
    <xf numFmtId="0" fontId="13" fillId="2" borderId="51" xfId="0" applyFont="1" applyFill="1" applyBorder="1" applyAlignment="1">
      <alignment horizontal="center"/>
    </xf>
    <xf numFmtId="0" fontId="13" fillId="2" borderId="46" xfId="0" applyFont="1" applyFill="1" applyBorder="1" applyAlignment="1">
      <alignment horizontal="center"/>
    </xf>
    <xf numFmtId="0" fontId="13" fillId="2" borderId="47" xfId="0" applyFont="1" applyFill="1" applyBorder="1" applyAlignment="1">
      <alignment horizontal="center"/>
    </xf>
    <xf numFmtId="0" fontId="14" fillId="2" borderId="54" xfId="0" applyFont="1" applyFill="1" applyBorder="1" applyAlignment="1">
      <alignment horizontal="center"/>
    </xf>
    <xf numFmtId="0" fontId="14" fillId="2" borderId="55" xfId="0" applyFont="1" applyFill="1" applyBorder="1" applyAlignment="1">
      <alignment horizontal="center"/>
    </xf>
    <xf numFmtId="0" fontId="14" fillId="2" borderId="56" xfId="0" applyFont="1" applyFill="1" applyBorder="1" applyAlignment="1">
      <alignment horizontal="center"/>
    </xf>
    <xf numFmtId="0" fontId="0" fillId="0" borderId="52" xfId="0" applyBorder="1" applyAlignment="1">
      <alignment horizontal="left" vertical="center" wrapText="1"/>
    </xf>
    <xf numFmtId="0" fontId="0" fillId="0" borderId="0" xfId="0" applyBorder="1" applyAlignment="1">
      <alignment horizontal="left" vertical="center" wrapText="1"/>
    </xf>
    <xf numFmtId="0" fontId="0" fillId="0" borderId="53" xfId="0" applyBorder="1" applyAlignment="1">
      <alignment horizontal="left" vertical="center" wrapText="1"/>
    </xf>
    <xf numFmtId="0" fontId="0" fillId="0" borderId="51"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3" borderId="33" xfId="0" applyFont="1" applyFill="1" applyBorder="1" applyAlignment="1">
      <alignment horizontal="center"/>
    </xf>
    <xf numFmtId="0" fontId="0" fillId="3" borderId="34" xfId="0" applyFont="1" applyFill="1" applyBorder="1" applyAlignment="1">
      <alignment horizontal="center"/>
    </xf>
    <xf numFmtId="0" fontId="0" fillId="3" borderId="35" xfId="0" applyFont="1" applyFill="1" applyBorder="1" applyAlignment="1">
      <alignment horizontal="center"/>
    </xf>
    <xf numFmtId="0" fontId="10" fillId="3" borderId="33" xfId="0" applyFont="1" applyFill="1" applyBorder="1" applyAlignment="1">
      <alignment horizontal="center"/>
    </xf>
    <xf numFmtId="0" fontId="10" fillId="3" borderId="34" xfId="0" applyFont="1" applyFill="1" applyBorder="1" applyAlignment="1">
      <alignment horizontal="center"/>
    </xf>
    <xf numFmtId="0" fontId="10" fillId="3" borderId="35" xfId="0" applyFont="1" applyFill="1" applyBorder="1" applyAlignment="1">
      <alignment horizontal="center"/>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542708"/>
      <color rgb="FF3C1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xdr:from>
      <xdr:col>19</xdr:col>
      <xdr:colOff>37800</xdr:colOff>
      <xdr:row>47</xdr:row>
      <xdr:rowOff>37800</xdr:rowOff>
    </xdr:from>
    <xdr:to>
      <xdr:col>19</xdr:col>
      <xdr:colOff>38160</xdr:colOff>
      <xdr:row>47</xdr:row>
      <xdr:rowOff>38160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Ink 1">
              <a:extLst>
                <a:ext uri="{FF2B5EF4-FFF2-40B4-BE49-F238E27FC236}">
                  <a16:creationId xmlns:a16="http://schemas.microsoft.com/office/drawing/2014/main" id="{F7322E45-5B1C-4A02-9150-CEA3A289B76F}"/>
                </a:ext>
              </a:extLst>
            </xdr14:cNvPr>
            <xdr14:cNvContentPartPr/>
          </xdr14:nvContentPartPr>
          <xdr14:nvPr macro=""/>
          <xdr14:xfrm>
            <a:off x="8648400" y="37800"/>
            <a:ext cx="360" cy="360"/>
          </xdr14:xfrm>
        </xdr:contentPart>
      </mc:Choice>
      <mc:Fallback xmlns="">
        <xdr:pic>
          <xdr:nvPicPr>
            <xdr:cNvPr id="2" name="Ink 1">
              <a:extLst>
                <a:ext uri="{FF2B5EF4-FFF2-40B4-BE49-F238E27FC236}">
                  <a16:creationId xmlns:a16="http://schemas.microsoft.com/office/drawing/2014/main" id="{F7322E45-5B1C-4A02-9150-CEA3A289B76F}"/>
                </a:ext>
              </a:extLst>
            </xdr:cNvPr>
            <xdr:cNvPicPr/>
          </xdr:nvPicPr>
          <xdr:blipFill>
            <a:blip xmlns:r="http://schemas.openxmlformats.org/officeDocument/2006/relationships" r:embed="rId2"/>
            <a:stretch>
              <a:fillRect/>
            </a:stretch>
          </xdr:blipFill>
          <xdr:spPr>
            <a:xfrm>
              <a:off x="8630760" y="20160"/>
              <a:ext cx="36000" cy="3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8-03-12T13:54:41.180"/>
    </inkml:context>
    <inkml:brush xml:id="br0">
      <inkml:brushProperty name="width" value="0.1" units="cm"/>
      <inkml:brushProperty name="height" value="0.1" units="cm"/>
      <inkml:brushProperty name="color" value="#AE198D"/>
      <inkml:brushProperty name="ignorePressure" value="1"/>
      <inkml:brushProperty name="inkEffects" value="galaxy"/>
      <inkml:brushProperty name="anchorX" value="0"/>
      <inkml:brushProperty name="anchorY" value="0"/>
      <inkml:brushProperty name="scaleFactor" value="0.5"/>
    </inkml:brush>
  </inkml:definitions>
  <inkml:trace contextRef="#ctx0" brushRef="#br0">1 1,'0'0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I62"/>
  <sheetViews>
    <sheetView zoomScaleNormal="100" workbookViewId="0">
      <selection activeCell="A3" sqref="A3:I5"/>
    </sheetView>
  </sheetViews>
  <sheetFormatPr defaultRowHeight="15" x14ac:dyDescent="0.25"/>
  <sheetData>
    <row r="1" spans="1:9" ht="15.75" thickBot="1" x14ac:dyDescent="0.3">
      <c r="A1" s="261" t="s">
        <v>145</v>
      </c>
      <c r="B1" s="262"/>
      <c r="C1" s="262"/>
      <c r="D1" s="262"/>
      <c r="E1" s="262"/>
      <c r="F1" s="262"/>
      <c r="G1" s="262"/>
      <c r="H1" s="262"/>
      <c r="I1" s="263"/>
    </row>
    <row r="2" spans="1:9" s="4" customFormat="1" ht="3.75" customHeight="1" x14ac:dyDescent="0.25">
      <c r="A2" s="61"/>
      <c r="B2" s="61"/>
      <c r="C2" s="61"/>
      <c r="D2" s="61"/>
      <c r="E2" s="61"/>
      <c r="F2" s="61"/>
      <c r="G2" s="61"/>
      <c r="H2" s="61"/>
      <c r="I2" s="61"/>
    </row>
    <row r="3" spans="1:9" x14ac:dyDescent="0.25">
      <c r="A3" s="260" t="s">
        <v>146</v>
      </c>
      <c r="B3" s="260"/>
      <c r="C3" s="260"/>
      <c r="D3" s="260"/>
      <c r="E3" s="260"/>
      <c r="F3" s="260"/>
      <c r="G3" s="260"/>
      <c r="H3" s="260"/>
      <c r="I3" s="260"/>
    </row>
    <row r="4" spans="1:9" x14ac:dyDescent="0.25">
      <c r="A4" s="260"/>
      <c r="B4" s="260"/>
      <c r="C4" s="260"/>
      <c r="D4" s="260"/>
      <c r="E4" s="260"/>
      <c r="F4" s="260"/>
      <c r="G4" s="260"/>
      <c r="H4" s="260"/>
      <c r="I4" s="260"/>
    </row>
    <row r="5" spans="1:9" x14ac:dyDescent="0.25">
      <c r="A5" s="260"/>
      <c r="B5" s="260"/>
      <c r="C5" s="260"/>
      <c r="D5" s="260"/>
      <c r="E5" s="260"/>
      <c r="F5" s="260"/>
      <c r="G5" s="260"/>
      <c r="H5" s="260"/>
      <c r="I5" s="260"/>
    </row>
    <row r="6" spans="1:9" s="1" customFormat="1" ht="3.75" customHeight="1" thickBot="1" x14ac:dyDescent="0.3">
      <c r="A6" s="70"/>
      <c r="B6" s="70"/>
      <c r="C6" s="70"/>
      <c r="D6" s="70"/>
      <c r="E6" s="70"/>
      <c r="F6" s="70"/>
      <c r="G6" s="70"/>
      <c r="H6" s="70"/>
      <c r="I6" s="70"/>
    </row>
    <row r="7" spans="1:9" s="1" customFormat="1" x14ac:dyDescent="0.25">
      <c r="A7" s="264" t="s">
        <v>321</v>
      </c>
      <c r="B7" s="265"/>
      <c r="C7" s="265"/>
      <c r="D7" s="265"/>
      <c r="E7" s="265"/>
      <c r="F7" s="265"/>
      <c r="G7" s="265"/>
      <c r="H7" s="265"/>
      <c r="I7" s="266"/>
    </row>
    <row r="8" spans="1:9" s="1" customFormat="1" x14ac:dyDescent="0.25">
      <c r="A8" s="267"/>
      <c r="B8" s="268"/>
      <c r="C8" s="268"/>
      <c r="D8" s="268"/>
      <c r="E8" s="268"/>
      <c r="F8" s="268"/>
      <c r="G8" s="268"/>
      <c r="H8" s="268"/>
      <c r="I8" s="269"/>
    </row>
    <row r="9" spans="1:9" s="1" customFormat="1" x14ac:dyDescent="0.25">
      <c r="A9" s="267"/>
      <c r="B9" s="268"/>
      <c r="C9" s="268"/>
      <c r="D9" s="268"/>
      <c r="E9" s="268"/>
      <c r="F9" s="268"/>
      <c r="G9" s="268"/>
      <c r="H9" s="268"/>
      <c r="I9" s="269"/>
    </row>
    <row r="10" spans="1:9" s="1" customFormat="1" x14ac:dyDescent="0.25">
      <c r="A10" s="267"/>
      <c r="B10" s="268"/>
      <c r="C10" s="268"/>
      <c r="D10" s="268"/>
      <c r="E10" s="268"/>
      <c r="F10" s="268"/>
      <c r="G10" s="268"/>
      <c r="H10" s="268"/>
      <c r="I10" s="269"/>
    </row>
    <row r="11" spans="1:9" s="1" customFormat="1" x14ac:dyDescent="0.25">
      <c r="A11" s="267"/>
      <c r="B11" s="268"/>
      <c r="C11" s="268"/>
      <c r="D11" s="268"/>
      <c r="E11" s="268"/>
      <c r="F11" s="268"/>
      <c r="G11" s="268"/>
      <c r="H11" s="268"/>
      <c r="I11" s="269"/>
    </row>
    <row r="12" spans="1:9" s="1" customFormat="1" x14ac:dyDescent="0.25">
      <c r="A12" s="267"/>
      <c r="B12" s="268"/>
      <c r="C12" s="268"/>
      <c r="D12" s="268"/>
      <c r="E12" s="268"/>
      <c r="F12" s="268"/>
      <c r="G12" s="268"/>
      <c r="H12" s="268"/>
      <c r="I12" s="269"/>
    </row>
    <row r="13" spans="1:9" s="1" customFormat="1" x14ac:dyDescent="0.25">
      <c r="A13" s="267"/>
      <c r="B13" s="268"/>
      <c r="C13" s="268"/>
      <c r="D13" s="268"/>
      <c r="E13" s="268"/>
      <c r="F13" s="268"/>
      <c r="G13" s="268"/>
      <c r="H13" s="268"/>
      <c r="I13" s="269"/>
    </row>
    <row r="14" spans="1:9" s="1" customFormat="1" ht="15" customHeight="1" x14ac:dyDescent="0.25">
      <c r="A14" s="267"/>
      <c r="B14" s="268"/>
      <c r="C14" s="268"/>
      <c r="D14" s="268"/>
      <c r="E14" s="268"/>
      <c r="F14" s="268"/>
      <c r="G14" s="268"/>
      <c r="H14" s="268"/>
      <c r="I14" s="269"/>
    </row>
    <row r="15" spans="1:9" s="1" customFormat="1" ht="15" customHeight="1" x14ac:dyDescent="0.25">
      <c r="A15" s="270" t="s">
        <v>332</v>
      </c>
      <c r="B15" s="271"/>
      <c r="C15" s="271"/>
      <c r="D15" s="271"/>
      <c r="E15" s="271"/>
      <c r="F15" s="271"/>
      <c r="G15" s="271"/>
      <c r="H15" s="271"/>
      <c r="I15" s="272"/>
    </row>
    <row r="16" spans="1:9" s="1" customFormat="1" ht="15" customHeight="1" x14ac:dyDescent="0.25">
      <c r="A16" s="270"/>
      <c r="B16" s="271"/>
      <c r="C16" s="271"/>
      <c r="D16" s="271"/>
      <c r="E16" s="271"/>
      <c r="F16" s="271"/>
      <c r="G16" s="271"/>
      <c r="H16" s="271"/>
      <c r="I16" s="272"/>
    </row>
    <row r="17" spans="1:9" s="1" customFormat="1" ht="15" customHeight="1" x14ac:dyDescent="0.25">
      <c r="A17" s="270"/>
      <c r="B17" s="271"/>
      <c r="C17" s="271"/>
      <c r="D17" s="271"/>
      <c r="E17" s="271"/>
      <c r="F17" s="271"/>
      <c r="G17" s="271"/>
      <c r="H17" s="271"/>
      <c r="I17" s="272"/>
    </row>
    <row r="18" spans="1:9" s="1" customFormat="1" ht="15" customHeight="1" x14ac:dyDescent="0.25">
      <c r="A18" s="270"/>
      <c r="B18" s="271"/>
      <c r="C18" s="271"/>
      <c r="D18" s="271"/>
      <c r="E18" s="271"/>
      <c r="F18" s="271"/>
      <c r="G18" s="271"/>
      <c r="H18" s="271"/>
      <c r="I18" s="272"/>
    </row>
    <row r="19" spans="1:9" s="1" customFormat="1" ht="15" customHeight="1" thickBot="1" x14ac:dyDescent="0.3">
      <c r="A19" s="273"/>
      <c r="B19" s="274"/>
      <c r="C19" s="274"/>
      <c r="D19" s="274"/>
      <c r="E19" s="274"/>
      <c r="F19" s="274"/>
      <c r="G19" s="274"/>
      <c r="H19" s="274"/>
      <c r="I19" s="275"/>
    </row>
    <row r="20" spans="1:9" s="4" customFormat="1" ht="3.75" customHeight="1" thickBot="1" x14ac:dyDescent="0.3">
      <c r="A20" s="102"/>
      <c r="B20" s="102"/>
      <c r="C20" s="102"/>
      <c r="D20" s="102"/>
      <c r="E20" s="102"/>
      <c r="F20" s="102"/>
      <c r="G20" s="102"/>
      <c r="H20" s="102"/>
      <c r="I20" s="102"/>
    </row>
    <row r="21" spans="1:9" s="1" customFormat="1" ht="15" customHeight="1" x14ac:dyDescent="0.25">
      <c r="A21" s="300" t="s">
        <v>322</v>
      </c>
      <c r="B21" s="301"/>
      <c r="C21" s="301"/>
      <c r="D21" s="301"/>
      <c r="E21" s="301"/>
      <c r="F21" s="301"/>
      <c r="G21" s="301"/>
      <c r="H21" s="301"/>
      <c r="I21" s="302"/>
    </row>
    <row r="22" spans="1:9" x14ac:dyDescent="0.25">
      <c r="A22" s="303"/>
      <c r="B22" s="304"/>
      <c r="C22" s="304"/>
      <c r="D22" s="304"/>
      <c r="E22" s="304"/>
      <c r="F22" s="304"/>
      <c r="G22" s="304"/>
      <c r="H22" s="304"/>
      <c r="I22" s="305"/>
    </row>
    <row r="23" spans="1:9" x14ac:dyDescent="0.25">
      <c r="A23" s="303"/>
      <c r="B23" s="304"/>
      <c r="C23" s="304"/>
      <c r="D23" s="304"/>
      <c r="E23" s="304"/>
      <c r="F23" s="304"/>
      <c r="G23" s="304"/>
      <c r="H23" s="304"/>
      <c r="I23" s="305"/>
    </row>
    <row r="24" spans="1:9" x14ac:dyDescent="0.25">
      <c r="A24" s="303"/>
      <c r="B24" s="304"/>
      <c r="C24" s="304"/>
      <c r="D24" s="304"/>
      <c r="E24" s="304"/>
      <c r="F24" s="304"/>
      <c r="G24" s="304"/>
      <c r="H24" s="304"/>
      <c r="I24" s="305"/>
    </row>
    <row r="25" spans="1:9" x14ac:dyDescent="0.25">
      <c r="A25" s="303"/>
      <c r="B25" s="304"/>
      <c r="C25" s="304"/>
      <c r="D25" s="304"/>
      <c r="E25" s="304"/>
      <c r="F25" s="304"/>
      <c r="G25" s="304"/>
      <c r="H25" s="304"/>
      <c r="I25" s="305"/>
    </row>
    <row r="26" spans="1:9" x14ac:dyDescent="0.25">
      <c r="A26" s="303"/>
      <c r="B26" s="304"/>
      <c r="C26" s="304"/>
      <c r="D26" s="304"/>
      <c r="E26" s="304"/>
      <c r="F26" s="304"/>
      <c r="G26" s="304"/>
      <c r="H26" s="304"/>
      <c r="I26" s="305"/>
    </row>
    <row r="27" spans="1:9" x14ac:dyDescent="0.25">
      <c r="A27" s="303"/>
      <c r="B27" s="304"/>
      <c r="C27" s="304"/>
      <c r="D27" s="304"/>
      <c r="E27" s="304"/>
      <c r="F27" s="304"/>
      <c r="G27" s="304"/>
      <c r="H27" s="304"/>
      <c r="I27" s="305"/>
    </row>
    <row r="28" spans="1:9" ht="15" customHeight="1" x14ac:dyDescent="0.25">
      <c r="A28" s="303"/>
      <c r="B28" s="304"/>
      <c r="C28" s="304"/>
      <c r="D28" s="304"/>
      <c r="E28" s="304"/>
      <c r="F28" s="304"/>
      <c r="G28" s="304"/>
      <c r="H28" s="304"/>
      <c r="I28" s="305"/>
    </row>
    <row r="29" spans="1:9" s="1" customFormat="1" ht="15" customHeight="1" x14ac:dyDescent="0.25">
      <c r="A29" s="282" t="s">
        <v>268</v>
      </c>
      <c r="B29" s="283"/>
      <c r="C29" s="283"/>
      <c r="D29" s="283"/>
      <c r="E29" s="283"/>
      <c r="F29" s="283"/>
      <c r="G29" s="283"/>
      <c r="H29" s="283"/>
      <c r="I29" s="284"/>
    </row>
    <row r="30" spans="1:9" s="1" customFormat="1" x14ac:dyDescent="0.25">
      <c r="A30" s="282"/>
      <c r="B30" s="283"/>
      <c r="C30" s="283"/>
      <c r="D30" s="283"/>
      <c r="E30" s="283"/>
      <c r="F30" s="283"/>
      <c r="G30" s="283"/>
      <c r="H30" s="283"/>
      <c r="I30" s="284"/>
    </row>
    <row r="31" spans="1:9" s="1" customFormat="1" ht="15" customHeight="1" x14ac:dyDescent="0.25">
      <c r="A31" s="282"/>
      <c r="B31" s="283"/>
      <c r="C31" s="283"/>
      <c r="D31" s="283"/>
      <c r="E31" s="283"/>
      <c r="F31" s="283"/>
      <c r="G31" s="283"/>
      <c r="H31" s="283"/>
      <c r="I31" s="284"/>
    </row>
    <row r="32" spans="1:9" ht="15" customHeight="1" thickBot="1" x14ac:dyDescent="0.3">
      <c r="A32" s="306"/>
      <c r="B32" s="307"/>
      <c r="C32" s="307"/>
      <c r="D32" s="307"/>
      <c r="E32" s="307"/>
      <c r="F32" s="307"/>
      <c r="G32" s="307"/>
      <c r="H32" s="307"/>
      <c r="I32" s="308"/>
    </row>
    <row r="33" spans="1:9" s="1" customFormat="1" ht="3.75" customHeight="1" thickBot="1" x14ac:dyDescent="0.3">
      <c r="A33" s="103"/>
      <c r="B33" s="103"/>
      <c r="C33" s="103"/>
      <c r="D33" s="103"/>
      <c r="E33" s="103"/>
      <c r="F33" s="103"/>
      <c r="G33" s="103"/>
      <c r="H33" s="103"/>
      <c r="I33" s="103"/>
    </row>
    <row r="34" spans="1:9" ht="15" customHeight="1" x14ac:dyDescent="0.25">
      <c r="A34" s="276" t="s">
        <v>269</v>
      </c>
      <c r="B34" s="277"/>
      <c r="C34" s="277"/>
      <c r="D34" s="277"/>
      <c r="E34" s="277"/>
      <c r="F34" s="277"/>
      <c r="G34" s="277"/>
      <c r="H34" s="277"/>
      <c r="I34" s="278"/>
    </row>
    <row r="35" spans="1:9" x14ac:dyDescent="0.25">
      <c r="A35" s="279"/>
      <c r="B35" s="280"/>
      <c r="C35" s="280"/>
      <c r="D35" s="280"/>
      <c r="E35" s="280"/>
      <c r="F35" s="280"/>
      <c r="G35" s="280"/>
      <c r="H35" s="280"/>
      <c r="I35" s="281"/>
    </row>
    <row r="36" spans="1:9" x14ac:dyDescent="0.25">
      <c r="A36" s="279"/>
      <c r="B36" s="280"/>
      <c r="C36" s="280"/>
      <c r="D36" s="280"/>
      <c r="E36" s="280"/>
      <c r="F36" s="280"/>
      <c r="G36" s="280"/>
      <c r="H36" s="280"/>
      <c r="I36" s="281"/>
    </row>
    <row r="37" spans="1:9" x14ac:dyDescent="0.25">
      <c r="A37" s="279"/>
      <c r="B37" s="280"/>
      <c r="C37" s="280"/>
      <c r="D37" s="280"/>
      <c r="E37" s="280"/>
      <c r="F37" s="280"/>
      <c r="G37" s="280"/>
      <c r="H37" s="280"/>
      <c r="I37" s="281"/>
    </row>
    <row r="38" spans="1:9" x14ac:dyDescent="0.25">
      <c r="A38" s="279"/>
      <c r="B38" s="280"/>
      <c r="C38" s="280"/>
      <c r="D38" s="280"/>
      <c r="E38" s="280"/>
      <c r="F38" s="280"/>
      <c r="G38" s="280"/>
      <c r="H38" s="280"/>
      <c r="I38" s="281"/>
    </row>
    <row r="39" spans="1:9" s="1" customFormat="1" x14ac:dyDescent="0.25">
      <c r="A39" s="279"/>
      <c r="B39" s="280"/>
      <c r="C39" s="280"/>
      <c r="D39" s="280"/>
      <c r="E39" s="280"/>
      <c r="F39" s="280"/>
      <c r="G39" s="280"/>
      <c r="H39" s="280"/>
      <c r="I39" s="281"/>
    </row>
    <row r="40" spans="1:9" x14ac:dyDescent="0.25">
      <c r="A40" s="279"/>
      <c r="B40" s="280"/>
      <c r="C40" s="280"/>
      <c r="D40" s="280"/>
      <c r="E40" s="280"/>
      <c r="F40" s="280"/>
      <c r="G40" s="280"/>
      <c r="H40" s="280"/>
      <c r="I40" s="281"/>
    </row>
    <row r="41" spans="1:9" s="1" customFormat="1" x14ac:dyDescent="0.25">
      <c r="A41" s="282" t="s">
        <v>270</v>
      </c>
      <c r="B41" s="283"/>
      <c r="C41" s="283"/>
      <c r="D41" s="283"/>
      <c r="E41" s="283"/>
      <c r="F41" s="283"/>
      <c r="G41" s="283"/>
      <c r="H41" s="283"/>
      <c r="I41" s="284"/>
    </row>
    <row r="42" spans="1:9" s="1" customFormat="1" x14ac:dyDescent="0.25">
      <c r="A42" s="282"/>
      <c r="B42" s="283"/>
      <c r="C42" s="283"/>
      <c r="D42" s="283"/>
      <c r="E42" s="283"/>
      <c r="F42" s="283"/>
      <c r="G42" s="283"/>
      <c r="H42" s="283"/>
      <c r="I42" s="284"/>
    </row>
    <row r="43" spans="1:9" s="1" customFormat="1" x14ac:dyDescent="0.25">
      <c r="A43" s="282"/>
      <c r="B43" s="283"/>
      <c r="C43" s="283"/>
      <c r="D43" s="283"/>
      <c r="E43" s="283"/>
      <c r="F43" s="283"/>
      <c r="G43" s="283"/>
      <c r="H43" s="283"/>
      <c r="I43" s="284"/>
    </row>
    <row r="44" spans="1:9" s="1" customFormat="1" ht="15" customHeight="1" x14ac:dyDescent="0.25">
      <c r="A44" s="282"/>
      <c r="B44" s="283"/>
      <c r="C44" s="283"/>
      <c r="D44" s="283"/>
      <c r="E44" s="283"/>
      <c r="F44" s="283"/>
      <c r="G44" s="283"/>
      <c r="H44" s="283"/>
      <c r="I44" s="284"/>
    </row>
    <row r="45" spans="1:9" s="1" customFormat="1" ht="15" customHeight="1" thickBot="1" x14ac:dyDescent="0.3">
      <c r="A45" s="306" t="s">
        <v>331</v>
      </c>
      <c r="B45" s="307"/>
      <c r="C45" s="307"/>
      <c r="D45" s="307"/>
      <c r="E45" s="307"/>
      <c r="F45" s="307"/>
      <c r="G45" s="307"/>
      <c r="H45" s="307"/>
      <c r="I45" s="308"/>
    </row>
    <row r="46" spans="1:9" s="1" customFormat="1" ht="3.75" customHeight="1" thickBot="1" x14ac:dyDescent="0.3">
      <c r="A46" s="103"/>
      <c r="B46" s="103"/>
      <c r="C46" s="103"/>
      <c r="D46" s="103"/>
      <c r="E46" s="103"/>
      <c r="F46" s="103"/>
      <c r="G46" s="103"/>
      <c r="H46" s="103"/>
      <c r="I46" s="103"/>
    </row>
    <row r="47" spans="1:9" x14ac:dyDescent="0.25">
      <c r="A47" s="285" t="s">
        <v>271</v>
      </c>
      <c r="B47" s="286"/>
      <c r="C47" s="286"/>
      <c r="D47" s="286"/>
      <c r="E47" s="286"/>
      <c r="F47" s="286"/>
      <c r="G47" s="286"/>
      <c r="H47" s="286"/>
      <c r="I47" s="287"/>
    </row>
    <row r="48" spans="1:9" x14ac:dyDescent="0.25">
      <c r="A48" s="288"/>
      <c r="B48" s="289"/>
      <c r="C48" s="289"/>
      <c r="D48" s="289"/>
      <c r="E48" s="289"/>
      <c r="F48" s="289"/>
      <c r="G48" s="289"/>
      <c r="H48" s="289"/>
      <c r="I48" s="290"/>
    </row>
    <row r="49" spans="1:9" x14ac:dyDescent="0.25">
      <c r="A49" s="288"/>
      <c r="B49" s="289"/>
      <c r="C49" s="289"/>
      <c r="D49" s="289"/>
      <c r="E49" s="289"/>
      <c r="F49" s="289"/>
      <c r="G49" s="289"/>
      <c r="H49" s="289"/>
      <c r="I49" s="290"/>
    </row>
    <row r="50" spans="1:9" s="4" customFormat="1" ht="3.75" customHeight="1" thickBot="1" x14ac:dyDescent="0.3">
      <c r="A50" s="102"/>
      <c r="B50" s="102"/>
      <c r="C50" s="102"/>
      <c r="D50" s="102"/>
      <c r="E50" s="102"/>
      <c r="F50" s="102"/>
      <c r="G50" s="102"/>
      <c r="H50" s="102"/>
      <c r="I50" s="102"/>
    </row>
    <row r="51" spans="1:9" ht="15" customHeight="1" x14ac:dyDescent="0.25">
      <c r="A51" s="291" t="s">
        <v>272</v>
      </c>
      <c r="B51" s="292"/>
      <c r="C51" s="292"/>
      <c r="D51" s="292"/>
      <c r="E51" s="292"/>
      <c r="F51" s="292"/>
      <c r="G51" s="292"/>
      <c r="H51" s="292"/>
      <c r="I51" s="293"/>
    </row>
    <row r="52" spans="1:9" s="3" customFormat="1" ht="15" customHeight="1" x14ac:dyDescent="0.2">
      <c r="A52" s="294"/>
      <c r="B52" s="295"/>
      <c r="C52" s="295"/>
      <c r="D52" s="295"/>
      <c r="E52" s="295"/>
      <c r="F52" s="295"/>
      <c r="G52" s="295"/>
      <c r="H52" s="295"/>
      <c r="I52" s="296"/>
    </row>
    <row r="53" spans="1:9" s="3" customFormat="1" ht="15" customHeight="1" thickBot="1" x14ac:dyDescent="0.25">
      <c r="A53" s="297"/>
      <c r="B53" s="298"/>
      <c r="C53" s="298"/>
      <c r="D53" s="298"/>
      <c r="E53" s="298"/>
      <c r="F53" s="298"/>
      <c r="G53" s="298"/>
      <c r="H53" s="298"/>
      <c r="I53" s="299"/>
    </row>
    <row r="54" spans="1:9" s="11" customFormat="1" ht="3.75" customHeight="1" thickBot="1" x14ac:dyDescent="0.25">
      <c r="A54" s="102"/>
      <c r="B54" s="102"/>
      <c r="C54" s="102"/>
      <c r="D54" s="102"/>
      <c r="E54" s="102"/>
      <c r="F54" s="102"/>
      <c r="G54" s="102"/>
      <c r="H54" s="102"/>
      <c r="I54" s="102"/>
    </row>
    <row r="55" spans="1:9" x14ac:dyDescent="0.25">
      <c r="A55" s="264" t="s">
        <v>150</v>
      </c>
      <c r="B55" s="265"/>
      <c r="C55" s="265"/>
      <c r="D55" s="265"/>
      <c r="E55" s="265"/>
      <c r="F55" s="265"/>
      <c r="G55" s="265"/>
      <c r="H55" s="265"/>
      <c r="I55" s="266"/>
    </row>
    <row r="56" spans="1:9" x14ac:dyDescent="0.25">
      <c r="A56" s="267"/>
      <c r="B56" s="268"/>
      <c r="C56" s="268"/>
      <c r="D56" s="268"/>
      <c r="E56" s="268"/>
      <c r="F56" s="268"/>
      <c r="G56" s="268"/>
      <c r="H56" s="268"/>
      <c r="I56" s="269"/>
    </row>
    <row r="57" spans="1:9" x14ac:dyDescent="0.25">
      <c r="A57" s="267"/>
      <c r="B57" s="268"/>
      <c r="C57" s="268"/>
      <c r="D57" s="268"/>
      <c r="E57" s="268"/>
      <c r="F57" s="268"/>
      <c r="G57" s="268"/>
      <c r="H57" s="268"/>
      <c r="I57" s="269"/>
    </row>
    <row r="58" spans="1:9" x14ac:dyDescent="0.25">
      <c r="A58" s="267"/>
      <c r="B58" s="268"/>
      <c r="C58" s="268"/>
      <c r="D58" s="268"/>
      <c r="E58" s="268"/>
      <c r="F58" s="268"/>
      <c r="G58" s="268"/>
      <c r="H58" s="268"/>
      <c r="I58" s="269"/>
    </row>
    <row r="59" spans="1:9" s="1" customFormat="1" x14ac:dyDescent="0.25">
      <c r="A59" s="270" t="s">
        <v>273</v>
      </c>
      <c r="B59" s="271"/>
      <c r="C59" s="271"/>
      <c r="D59" s="271"/>
      <c r="E59" s="271"/>
      <c r="F59" s="271"/>
      <c r="G59" s="271"/>
      <c r="H59" s="271"/>
      <c r="I59" s="272"/>
    </row>
    <row r="60" spans="1:9" s="1" customFormat="1" x14ac:dyDescent="0.25">
      <c r="A60" s="270"/>
      <c r="B60" s="271"/>
      <c r="C60" s="271"/>
      <c r="D60" s="271"/>
      <c r="E60" s="271"/>
      <c r="F60" s="271"/>
      <c r="G60" s="271"/>
      <c r="H60" s="271"/>
      <c r="I60" s="272"/>
    </row>
    <row r="61" spans="1:9" s="1" customFormat="1" ht="15.75" thickBot="1" x14ac:dyDescent="0.3">
      <c r="A61" s="273"/>
      <c r="B61" s="274"/>
      <c r="C61" s="274"/>
      <c r="D61" s="274"/>
      <c r="E61" s="274"/>
      <c r="F61" s="274"/>
      <c r="G61" s="274"/>
      <c r="H61" s="274"/>
      <c r="I61" s="275"/>
    </row>
    <row r="62" spans="1:9" ht="3" customHeight="1" x14ac:dyDescent="0.25">
      <c r="A62" s="104"/>
      <c r="B62" s="104"/>
      <c r="C62" s="104"/>
      <c r="D62" s="104"/>
      <c r="E62" s="104"/>
      <c r="F62" s="104"/>
      <c r="G62" s="104"/>
      <c r="H62" s="104"/>
      <c r="I62" s="104"/>
    </row>
  </sheetData>
  <sheetProtection algorithmName="SHA-512" hashValue="3pzpYUZh5TajVa8rMDDZqCPZ7txtkwWOxcg0C05dm79Ro7ZcgDZvNrrbmkbfcck88qqqg+U7D8pvkdXVEgm7rw==" saltValue="pDqIugTAOCUnA3dWXVgoNA==" spinCount="100000" sheet="1" objects="1" scenarios="1"/>
  <mergeCells count="13">
    <mergeCell ref="A3:I5"/>
    <mergeCell ref="A1:I1"/>
    <mergeCell ref="A7:I14"/>
    <mergeCell ref="A59:I61"/>
    <mergeCell ref="A55:I58"/>
    <mergeCell ref="A15:I19"/>
    <mergeCell ref="A34:I40"/>
    <mergeCell ref="A41:I44"/>
    <mergeCell ref="A47:I49"/>
    <mergeCell ref="A51:I53"/>
    <mergeCell ref="A21:I28"/>
    <mergeCell ref="A29:I32"/>
    <mergeCell ref="A45:I45"/>
  </mergeCells>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R54"/>
  <sheetViews>
    <sheetView zoomScaleNormal="100" workbookViewId="0">
      <selection activeCell="A3" sqref="A3:I10"/>
    </sheetView>
  </sheetViews>
  <sheetFormatPr defaultRowHeight="15" x14ac:dyDescent="0.25"/>
  <sheetData>
    <row r="1" spans="1:18" ht="15.75" thickBot="1" x14ac:dyDescent="0.3">
      <c r="A1" s="261" t="s">
        <v>116</v>
      </c>
      <c r="B1" s="262"/>
      <c r="C1" s="262"/>
      <c r="D1" s="262"/>
      <c r="E1" s="262"/>
      <c r="F1" s="262"/>
      <c r="G1" s="262"/>
      <c r="H1" s="262"/>
      <c r="I1" s="263"/>
    </row>
    <row r="2" spans="1:18" s="1" customFormat="1" ht="15.75" thickBot="1" x14ac:dyDescent="0.3">
      <c r="A2" s="587" t="s">
        <v>281</v>
      </c>
      <c r="B2" s="588"/>
      <c r="C2" s="588"/>
      <c r="D2" s="588"/>
      <c r="E2" s="588"/>
      <c r="F2" s="588"/>
      <c r="G2" s="588"/>
      <c r="H2" s="588"/>
      <c r="I2" s="589"/>
    </row>
    <row r="3" spans="1:18" s="1" customFormat="1" ht="15" customHeight="1" x14ac:dyDescent="0.25">
      <c r="A3" s="581" t="s">
        <v>147</v>
      </c>
      <c r="B3" s="582"/>
      <c r="C3" s="582"/>
      <c r="D3" s="582"/>
      <c r="E3" s="582"/>
      <c r="F3" s="582"/>
      <c r="G3" s="582"/>
      <c r="H3" s="582"/>
      <c r="I3" s="583"/>
      <c r="J3" s="58"/>
      <c r="K3" s="58"/>
      <c r="L3" s="58"/>
      <c r="M3" s="58"/>
      <c r="N3" s="58"/>
      <c r="O3" s="58"/>
      <c r="P3" s="58"/>
      <c r="Q3" s="58"/>
      <c r="R3" s="58"/>
    </row>
    <row r="4" spans="1:18" s="1" customFormat="1" x14ac:dyDescent="0.25">
      <c r="A4" s="578"/>
      <c r="B4" s="579"/>
      <c r="C4" s="579"/>
      <c r="D4" s="579"/>
      <c r="E4" s="579"/>
      <c r="F4" s="579"/>
      <c r="G4" s="579"/>
      <c r="H4" s="579"/>
      <c r="I4" s="580"/>
      <c r="J4" s="57"/>
      <c r="K4" s="57"/>
      <c r="L4" s="57"/>
      <c r="M4" s="57"/>
      <c r="N4" s="57"/>
      <c r="O4" s="57"/>
      <c r="P4" s="57"/>
      <c r="Q4" s="57"/>
      <c r="R4" s="57"/>
    </row>
    <row r="5" spans="1:18" s="1" customFormat="1" x14ac:dyDescent="0.25">
      <c r="A5" s="578"/>
      <c r="B5" s="579"/>
      <c r="C5" s="579"/>
      <c r="D5" s="579"/>
      <c r="E5" s="579"/>
      <c r="F5" s="579"/>
      <c r="G5" s="579"/>
      <c r="H5" s="579"/>
      <c r="I5" s="580"/>
      <c r="J5" s="57"/>
      <c r="K5" s="57"/>
      <c r="L5" s="57"/>
      <c r="M5" s="57"/>
      <c r="N5" s="57"/>
      <c r="O5" s="57"/>
      <c r="P5" s="57"/>
      <c r="Q5" s="57"/>
      <c r="R5" s="57"/>
    </row>
    <row r="6" spans="1:18" s="1" customFormat="1" x14ac:dyDescent="0.25">
      <c r="A6" s="578"/>
      <c r="B6" s="579"/>
      <c r="C6" s="579"/>
      <c r="D6" s="579"/>
      <c r="E6" s="579"/>
      <c r="F6" s="579"/>
      <c r="G6" s="579"/>
      <c r="H6" s="579"/>
      <c r="I6" s="580"/>
      <c r="J6" s="57"/>
      <c r="K6" s="57"/>
      <c r="L6" s="57"/>
      <c r="M6" s="57"/>
      <c r="N6" s="57"/>
      <c r="O6" s="57"/>
      <c r="P6" s="57"/>
      <c r="Q6" s="57"/>
      <c r="R6" s="57"/>
    </row>
    <row r="7" spans="1:18" s="1" customFormat="1" x14ac:dyDescent="0.25">
      <c r="A7" s="578"/>
      <c r="B7" s="579"/>
      <c r="C7" s="579"/>
      <c r="D7" s="579"/>
      <c r="E7" s="579"/>
      <c r="F7" s="579"/>
      <c r="G7" s="579"/>
      <c r="H7" s="579"/>
      <c r="I7" s="580"/>
      <c r="J7" s="57"/>
      <c r="K7" s="57"/>
      <c r="L7" s="57"/>
      <c r="M7" s="57"/>
      <c r="N7" s="57"/>
      <c r="O7" s="57"/>
      <c r="P7" s="57"/>
      <c r="Q7" s="57"/>
      <c r="R7" s="57"/>
    </row>
    <row r="8" spans="1:18" s="1" customFormat="1" x14ac:dyDescent="0.25">
      <c r="A8" s="578"/>
      <c r="B8" s="579"/>
      <c r="C8" s="579"/>
      <c r="D8" s="579"/>
      <c r="E8" s="579"/>
      <c r="F8" s="579"/>
      <c r="G8" s="579"/>
      <c r="H8" s="579"/>
      <c r="I8" s="580"/>
      <c r="J8" s="57"/>
      <c r="K8" s="57"/>
      <c r="L8" s="57"/>
      <c r="M8" s="57"/>
      <c r="N8" s="57"/>
      <c r="O8" s="57"/>
      <c r="P8" s="57"/>
      <c r="Q8" s="57"/>
      <c r="R8" s="57"/>
    </row>
    <row r="9" spans="1:18" s="1" customFormat="1" x14ac:dyDescent="0.25">
      <c r="A9" s="578"/>
      <c r="B9" s="579"/>
      <c r="C9" s="579"/>
      <c r="D9" s="579"/>
      <c r="E9" s="579"/>
      <c r="F9" s="579"/>
      <c r="G9" s="579"/>
      <c r="H9" s="579"/>
      <c r="I9" s="580"/>
      <c r="J9" s="57"/>
      <c r="K9" s="57"/>
      <c r="L9" s="57"/>
      <c r="M9" s="57"/>
      <c r="N9" s="57"/>
      <c r="O9" s="57"/>
      <c r="P9" s="57"/>
      <c r="Q9" s="57"/>
      <c r="R9" s="57"/>
    </row>
    <row r="10" spans="1:18" s="1" customFormat="1" x14ac:dyDescent="0.25">
      <c r="A10" s="578"/>
      <c r="B10" s="579"/>
      <c r="C10" s="579"/>
      <c r="D10" s="579"/>
      <c r="E10" s="579"/>
      <c r="F10" s="579"/>
      <c r="G10" s="579"/>
      <c r="H10" s="579"/>
      <c r="I10" s="580"/>
      <c r="J10" s="57"/>
      <c r="K10" s="57"/>
      <c r="L10" s="57"/>
      <c r="M10" s="57"/>
      <c r="N10" s="57"/>
      <c r="O10" s="57"/>
      <c r="P10" s="57"/>
      <c r="Q10" s="57"/>
      <c r="R10" s="57"/>
    </row>
    <row r="11" spans="1:18" s="1" customFormat="1" ht="15" customHeight="1" x14ac:dyDescent="0.25">
      <c r="A11" s="578" t="s">
        <v>133</v>
      </c>
      <c r="B11" s="579"/>
      <c r="C11" s="579"/>
      <c r="D11" s="579"/>
      <c r="E11" s="579"/>
      <c r="F11" s="579"/>
      <c r="G11" s="579"/>
      <c r="H11" s="579"/>
      <c r="I11" s="580"/>
    </row>
    <row r="12" spans="1:18" s="1" customFormat="1" x14ac:dyDescent="0.25">
      <c r="A12" s="578"/>
      <c r="B12" s="579"/>
      <c r="C12" s="579"/>
      <c r="D12" s="579"/>
      <c r="E12" s="579"/>
      <c r="F12" s="579"/>
      <c r="G12" s="579"/>
      <c r="H12" s="579"/>
      <c r="I12" s="580"/>
    </row>
    <row r="13" spans="1:18" s="1" customFormat="1" x14ac:dyDescent="0.25">
      <c r="A13" s="578"/>
      <c r="B13" s="579"/>
      <c r="C13" s="579"/>
      <c r="D13" s="579"/>
      <c r="E13" s="579"/>
      <c r="F13" s="579"/>
      <c r="G13" s="579"/>
      <c r="H13" s="579"/>
      <c r="I13" s="580"/>
    </row>
    <row r="14" spans="1:18" s="1" customFormat="1" x14ac:dyDescent="0.25">
      <c r="A14" s="578"/>
      <c r="B14" s="579"/>
      <c r="C14" s="579"/>
      <c r="D14" s="579"/>
      <c r="E14" s="579"/>
      <c r="F14" s="579"/>
      <c r="G14" s="579"/>
      <c r="H14" s="579"/>
      <c r="I14" s="580"/>
    </row>
    <row r="15" spans="1:18" s="1" customFormat="1" x14ac:dyDescent="0.25">
      <c r="A15" s="578"/>
      <c r="B15" s="579"/>
      <c r="C15" s="579"/>
      <c r="D15" s="579"/>
      <c r="E15" s="579"/>
      <c r="F15" s="579"/>
      <c r="G15" s="579"/>
      <c r="H15" s="579"/>
      <c r="I15" s="580"/>
    </row>
    <row r="16" spans="1:18" s="1" customFormat="1" ht="15" customHeight="1" x14ac:dyDescent="0.25">
      <c r="A16" s="578" t="s">
        <v>131</v>
      </c>
      <c r="B16" s="579"/>
      <c r="C16" s="579"/>
      <c r="D16" s="579"/>
      <c r="E16" s="579"/>
      <c r="F16" s="579"/>
      <c r="G16" s="579"/>
      <c r="H16" s="579"/>
      <c r="I16" s="580"/>
    </row>
    <row r="17" spans="1:9" s="1" customFormat="1" x14ac:dyDescent="0.25">
      <c r="A17" s="578"/>
      <c r="B17" s="579"/>
      <c r="C17" s="579"/>
      <c r="D17" s="579"/>
      <c r="E17" s="579"/>
      <c r="F17" s="579"/>
      <c r="G17" s="579"/>
      <c r="H17" s="579"/>
      <c r="I17" s="580"/>
    </row>
    <row r="18" spans="1:9" s="1" customFormat="1" x14ac:dyDescent="0.25">
      <c r="A18" s="578"/>
      <c r="B18" s="579"/>
      <c r="C18" s="579"/>
      <c r="D18" s="579"/>
      <c r="E18" s="579"/>
      <c r="F18" s="579"/>
      <c r="G18" s="579"/>
      <c r="H18" s="579"/>
      <c r="I18" s="580"/>
    </row>
    <row r="19" spans="1:9" s="1" customFormat="1" ht="15" customHeight="1" x14ac:dyDescent="0.25">
      <c r="A19" s="578" t="s">
        <v>132</v>
      </c>
      <c r="B19" s="579"/>
      <c r="C19" s="579"/>
      <c r="D19" s="579"/>
      <c r="E19" s="579"/>
      <c r="F19" s="579"/>
      <c r="G19" s="579"/>
      <c r="H19" s="579"/>
      <c r="I19" s="580"/>
    </row>
    <row r="20" spans="1:9" s="1" customFormat="1" x14ac:dyDescent="0.25">
      <c r="A20" s="578"/>
      <c r="B20" s="579"/>
      <c r="C20" s="579"/>
      <c r="D20" s="579"/>
      <c r="E20" s="579"/>
      <c r="F20" s="579"/>
      <c r="G20" s="579"/>
      <c r="H20" s="579"/>
      <c r="I20" s="580"/>
    </row>
    <row r="21" spans="1:9" s="1" customFormat="1" x14ac:dyDescent="0.25">
      <c r="A21" s="578"/>
      <c r="B21" s="579"/>
      <c r="C21" s="579"/>
      <c r="D21" s="579"/>
      <c r="E21" s="579"/>
      <c r="F21" s="579"/>
      <c r="G21" s="579"/>
      <c r="H21" s="579"/>
      <c r="I21" s="580"/>
    </row>
    <row r="22" spans="1:9" x14ac:dyDescent="0.25">
      <c r="A22" s="578" t="s">
        <v>129</v>
      </c>
      <c r="B22" s="579"/>
      <c r="C22" s="579"/>
      <c r="D22" s="579"/>
      <c r="E22" s="579"/>
      <c r="F22" s="579"/>
      <c r="G22" s="579"/>
      <c r="H22" s="579"/>
      <c r="I22" s="580"/>
    </row>
    <row r="23" spans="1:9" s="1" customFormat="1" x14ac:dyDescent="0.25">
      <c r="A23" s="578"/>
      <c r="B23" s="579"/>
      <c r="C23" s="579"/>
      <c r="D23" s="579"/>
      <c r="E23" s="579"/>
      <c r="F23" s="579"/>
      <c r="G23" s="579"/>
      <c r="H23" s="579"/>
      <c r="I23" s="580"/>
    </row>
    <row r="24" spans="1:9" s="1" customFormat="1" x14ac:dyDescent="0.25">
      <c r="A24" s="578"/>
      <c r="B24" s="579"/>
      <c r="C24" s="579"/>
      <c r="D24" s="579"/>
      <c r="E24" s="579"/>
      <c r="F24" s="579"/>
      <c r="G24" s="579"/>
      <c r="H24" s="579"/>
      <c r="I24" s="580"/>
    </row>
    <row r="25" spans="1:9" ht="15" customHeight="1" x14ac:dyDescent="0.25">
      <c r="A25" s="578" t="s">
        <v>130</v>
      </c>
      <c r="B25" s="579"/>
      <c r="C25" s="579"/>
      <c r="D25" s="579"/>
      <c r="E25" s="579"/>
      <c r="F25" s="579"/>
      <c r="G25" s="579"/>
      <c r="H25" s="579"/>
      <c r="I25" s="580"/>
    </row>
    <row r="26" spans="1:9" x14ac:dyDescent="0.25">
      <c r="A26" s="578"/>
      <c r="B26" s="579"/>
      <c r="C26" s="579"/>
      <c r="D26" s="579"/>
      <c r="E26" s="579"/>
      <c r="F26" s="579"/>
      <c r="G26" s="579"/>
      <c r="H26" s="579"/>
      <c r="I26" s="580"/>
    </row>
    <row r="27" spans="1:9" x14ac:dyDescent="0.25">
      <c r="A27" s="578"/>
      <c r="B27" s="579"/>
      <c r="C27" s="579"/>
      <c r="D27" s="579"/>
      <c r="E27" s="579"/>
      <c r="F27" s="579"/>
      <c r="G27" s="579"/>
      <c r="H27" s="579"/>
      <c r="I27" s="580"/>
    </row>
    <row r="28" spans="1:9" x14ac:dyDescent="0.25">
      <c r="A28" s="578"/>
      <c r="B28" s="579"/>
      <c r="C28" s="579"/>
      <c r="D28" s="579"/>
      <c r="E28" s="579"/>
      <c r="F28" s="579"/>
      <c r="G28" s="579"/>
      <c r="H28" s="579"/>
      <c r="I28" s="580"/>
    </row>
    <row r="29" spans="1:9" x14ac:dyDescent="0.25">
      <c r="A29" s="578"/>
      <c r="B29" s="579"/>
      <c r="C29" s="579"/>
      <c r="D29" s="579"/>
      <c r="E29" s="579"/>
      <c r="F29" s="579"/>
      <c r="G29" s="579"/>
      <c r="H29" s="579"/>
      <c r="I29" s="580"/>
    </row>
    <row r="30" spans="1:9" s="1" customFormat="1" ht="15" customHeight="1" x14ac:dyDescent="0.25">
      <c r="A30" s="578" t="s">
        <v>143</v>
      </c>
      <c r="B30" s="579"/>
      <c r="C30" s="579"/>
      <c r="D30" s="579"/>
      <c r="E30" s="579"/>
      <c r="F30" s="579"/>
      <c r="G30" s="579"/>
      <c r="H30" s="579"/>
      <c r="I30" s="580"/>
    </row>
    <row r="31" spans="1:9" x14ac:dyDescent="0.25">
      <c r="A31" s="578"/>
      <c r="B31" s="579"/>
      <c r="C31" s="579"/>
      <c r="D31" s="579"/>
      <c r="E31" s="579"/>
      <c r="F31" s="579"/>
      <c r="G31" s="579"/>
      <c r="H31" s="579"/>
      <c r="I31" s="580"/>
    </row>
    <row r="32" spans="1:9" x14ac:dyDescent="0.25">
      <c r="A32" s="578"/>
      <c r="B32" s="579"/>
      <c r="C32" s="579"/>
      <c r="D32" s="579"/>
      <c r="E32" s="579"/>
      <c r="F32" s="579"/>
      <c r="G32" s="579"/>
      <c r="H32" s="579"/>
      <c r="I32" s="580"/>
    </row>
    <row r="33" spans="1:9" s="1" customFormat="1" x14ac:dyDescent="0.25">
      <c r="A33" s="578"/>
      <c r="B33" s="579"/>
      <c r="C33" s="579"/>
      <c r="D33" s="579"/>
      <c r="E33" s="579"/>
      <c r="F33" s="579"/>
      <c r="G33" s="579"/>
      <c r="H33" s="579"/>
      <c r="I33" s="580"/>
    </row>
    <row r="34" spans="1:9" s="1" customFormat="1" x14ac:dyDescent="0.25">
      <c r="A34" s="578"/>
      <c r="B34" s="579"/>
      <c r="C34" s="579"/>
      <c r="D34" s="579"/>
      <c r="E34" s="579"/>
      <c r="F34" s="579"/>
      <c r="G34" s="579"/>
      <c r="H34" s="579"/>
      <c r="I34" s="580"/>
    </row>
    <row r="35" spans="1:9" ht="15" customHeight="1" x14ac:dyDescent="0.25">
      <c r="A35" s="578" t="s">
        <v>142</v>
      </c>
      <c r="B35" s="579"/>
      <c r="C35" s="579"/>
      <c r="D35" s="579"/>
      <c r="E35" s="579"/>
      <c r="F35" s="579"/>
      <c r="G35" s="579"/>
      <c r="H35" s="579"/>
      <c r="I35" s="580"/>
    </row>
    <row r="36" spans="1:9" x14ac:dyDescent="0.25">
      <c r="A36" s="578"/>
      <c r="B36" s="579"/>
      <c r="C36" s="579"/>
      <c r="D36" s="579"/>
      <c r="E36" s="579"/>
      <c r="F36" s="579"/>
      <c r="G36" s="579"/>
      <c r="H36" s="579"/>
      <c r="I36" s="580"/>
    </row>
    <row r="37" spans="1:9" x14ac:dyDescent="0.25">
      <c r="A37" s="578"/>
      <c r="B37" s="579"/>
      <c r="C37" s="579"/>
      <c r="D37" s="579"/>
      <c r="E37" s="579"/>
      <c r="F37" s="579"/>
      <c r="G37" s="579"/>
      <c r="H37" s="579"/>
      <c r="I37" s="580"/>
    </row>
    <row r="38" spans="1:9" x14ac:dyDescent="0.25">
      <c r="A38" s="578"/>
      <c r="B38" s="579"/>
      <c r="C38" s="579"/>
      <c r="D38" s="579"/>
      <c r="E38" s="579"/>
      <c r="F38" s="579"/>
      <c r="G38" s="579"/>
      <c r="H38" s="579"/>
      <c r="I38" s="580"/>
    </row>
    <row r="39" spans="1:9" x14ac:dyDescent="0.25">
      <c r="A39" s="578"/>
      <c r="B39" s="579"/>
      <c r="C39" s="579"/>
      <c r="D39" s="579"/>
      <c r="E39" s="579"/>
      <c r="F39" s="579"/>
      <c r="G39" s="579"/>
      <c r="H39" s="579"/>
      <c r="I39" s="580"/>
    </row>
    <row r="40" spans="1:9" ht="15.75" thickBot="1" x14ac:dyDescent="0.3">
      <c r="A40" s="590"/>
      <c r="B40" s="591"/>
      <c r="C40" s="591"/>
      <c r="D40" s="591"/>
      <c r="E40" s="591"/>
      <c r="F40" s="591"/>
      <c r="G40" s="591"/>
      <c r="H40" s="591"/>
      <c r="I40" s="592"/>
    </row>
    <row r="41" spans="1:9" ht="15.75" thickBot="1" x14ac:dyDescent="0.3">
      <c r="A41" s="584" t="s">
        <v>282</v>
      </c>
      <c r="B41" s="585"/>
      <c r="C41" s="585"/>
      <c r="D41" s="585"/>
      <c r="E41" s="585"/>
      <c r="F41" s="585"/>
      <c r="G41" s="585"/>
      <c r="H41" s="585"/>
      <c r="I41" s="586"/>
    </row>
    <row r="42" spans="1:9" x14ac:dyDescent="0.25">
      <c r="A42" s="581" t="s">
        <v>284</v>
      </c>
      <c r="B42" s="582"/>
      <c r="C42" s="582"/>
      <c r="D42" s="582"/>
      <c r="E42" s="582"/>
      <c r="F42" s="582"/>
      <c r="G42" s="582"/>
      <c r="H42" s="582"/>
      <c r="I42" s="583"/>
    </row>
    <row r="43" spans="1:9" s="1" customFormat="1" x14ac:dyDescent="0.25">
      <c r="A43" s="578"/>
      <c r="B43" s="579"/>
      <c r="C43" s="579"/>
      <c r="D43" s="579"/>
      <c r="E43" s="579"/>
      <c r="F43" s="579"/>
      <c r="G43" s="579"/>
      <c r="H43" s="579"/>
      <c r="I43" s="580"/>
    </row>
    <row r="44" spans="1:9" s="1" customFormat="1" x14ac:dyDescent="0.25">
      <c r="A44" s="578"/>
      <c r="B44" s="579"/>
      <c r="C44" s="579"/>
      <c r="D44" s="579"/>
      <c r="E44" s="579"/>
      <c r="F44" s="579"/>
      <c r="G44" s="579"/>
      <c r="H44" s="579"/>
      <c r="I44" s="580"/>
    </row>
    <row r="45" spans="1:9" s="1" customFormat="1" x14ac:dyDescent="0.25">
      <c r="A45" s="578"/>
      <c r="B45" s="579"/>
      <c r="C45" s="579"/>
      <c r="D45" s="579"/>
      <c r="E45" s="579"/>
      <c r="F45" s="579"/>
      <c r="G45" s="579"/>
      <c r="H45" s="579"/>
      <c r="I45" s="580"/>
    </row>
    <row r="46" spans="1:9" s="1" customFormat="1" x14ac:dyDescent="0.25">
      <c r="A46" s="578"/>
      <c r="B46" s="579"/>
      <c r="C46" s="579"/>
      <c r="D46" s="579"/>
      <c r="E46" s="579"/>
      <c r="F46" s="579"/>
      <c r="G46" s="579"/>
      <c r="H46" s="579"/>
      <c r="I46" s="580"/>
    </row>
    <row r="47" spans="1:9" s="1" customFormat="1" x14ac:dyDescent="0.25">
      <c r="A47" s="578"/>
      <c r="B47" s="579"/>
      <c r="C47" s="579"/>
      <c r="D47" s="579"/>
      <c r="E47" s="579"/>
      <c r="F47" s="579"/>
      <c r="G47" s="579"/>
      <c r="H47" s="579"/>
      <c r="I47" s="580"/>
    </row>
    <row r="48" spans="1:9" s="1" customFormat="1" x14ac:dyDescent="0.25">
      <c r="A48" s="578"/>
      <c r="B48" s="579"/>
      <c r="C48" s="579"/>
      <c r="D48" s="579"/>
      <c r="E48" s="579"/>
      <c r="F48" s="579"/>
      <c r="G48" s="579"/>
      <c r="H48" s="579"/>
      <c r="I48" s="580"/>
    </row>
    <row r="49" spans="1:9" x14ac:dyDescent="0.25">
      <c r="A49" s="578" t="s">
        <v>283</v>
      </c>
      <c r="B49" s="579"/>
      <c r="C49" s="579"/>
      <c r="D49" s="579"/>
      <c r="E49" s="579"/>
      <c r="F49" s="579"/>
      <c r="G49" s="579"/>
      <c r="H49" s="579"/>
      <c r="I49" s="580"/>
    </row>
    <row r="50" spans="1:9" s="1" customFormat="1" x14ac:dyDescent="0.25">
      <c r="A50" s="578"/>
      <c r="B50" s="579"/>
      <c r="C50" s="579"/>
      <c r="D50" s="579"/>
      <c r="E50" s="579"/>
      <c r="F50" s="579"/>
      <c r="G50" s="579"/>
      <c r="H50" s="579"/>
      <c r="I50" s="580"/>
    </row>
    <row r="51" spans="1:9" s="1" customFormat="1" x14ac:dyDescent="0.25">
      <c r="A51" s="578"/>
      <c r="B51" s="579"/>
      <c r="C51" s="579"/>
      <c r="D51" s="579"/>
      <c r="E51" s="579"/>
      <c r="F51" s="579"/>
      <c r="G51" s="579"/>
      <c r="H51" s="579"/>
      <c r="I51" s="580"/>
    </row>
    <row r="52" spans="1:9" s="1" customFormat="1" x14ac:dyDescent="0.25">
      <c r="A52" s="578"/>
      <c r="B52" s="579"/>
      <c r="C52" s="579"/>
      <c r="D52" s="579"/>
      <c r="E52" s="579"/>
      <c r="F52" s="579"/>
      <c r="G52" s="579"/>
      <c r="H52" s="579"/>
      <c r="I52" s="580"/>
    </row>
    <row r="53" spans="1:9" s="1" customFormat="1" x14ac:dyDescent="0.25">
      <c r="A53" s="578"/>
      <c r="B53" s="579"/>
      <c r="C53" s="579"/>
      <c r="D53" s="579"/>
      <c r="E53" s="579"/>
      <c r="F53" s="579"/>
      <c r="G53" s="579"/>
      <c r="H53" s="579"/>
      <c r="I53" s="580"/>
    </row>
    <row r="54" spans="1:9" ht="15.75" thickBot="1" x14ac:dyDescent="0.3">
      <c r="A54" s="590"/>
      <c r="B54" s="591"/>
      <c r="C54" s="591"/>
      <c r="D54" s="591"/>
      <c r="E54" s="591"/>
      <c r="F54" s="591"/>
      <c r="G54" s="591"/>
      <c r="H54" s="591"/>
      <c r="I54" s="592"/>
    </row>
  </sheetData>
  <sheetProtection algorithmName="SHA-512" hashValue="y2QUKQxwyVcqyURRgTevPIobh1kx+xnrvpBdTqkC3c/6Nck0TIau3rpwAO6pPKH6XbqSJcLxH2DtbMwEW3jw0Q==" saltValue="ZXaI5yz5fkNt/jtIKYmkGg==" spinCount="100000" sheet="1" objects="1" scenarios="1"/>
  <mergeCells count="13">
    <mergeCell ref="A41:I41"/>
    <mergeCell ref="A2:I2"/>
    <mergeCell ref="A42:I48"/>
    <mergeCell ref="A49:I54"/>
    <mergeCell ref="A35:I40"/>
    <mergeCell ref="A30:I34"/>
    <mergeCell ref="A1:I1"/>
    <mergeCell ref="A19:I21"/>
    <mergeCell ref="A22:I24"/>
    <mergeCell ref="A25:I29"/>
    <mergeCell ref="A16:I18"/>
    <mergeCell ref="A11:I15"/>
    <mergeCell ref="A3:I10"/>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337"/>
  <sheetViews>
    <sheetView zoomScaleNormal="100" workbookViewId="0"/>
  </sheetViews>
  <sheetFormatPr defaultRowHeight="15" x14ac:dyDescent="0.25"/>
  <cols>
    <col min="1" max="1" width="13.5703125" customWidth="1"/>
    <col min="17" max="17" width="8.7109375" style="1"/>
    <col min="19" max="25" width="9.140625" style="1"/>
  </cols>
  <sheetData>
    <row r="1" spans="1:29" x14ac:dyDescent="0.25">
      <c r="A1" s="154" t="s">
        <v>179</v>
      </c>
      <c r="B1" s="154" t="s">
        <v>175</v>
      </c>
      <c r="C1" s="174" t="s">
        <v>176</v>
      </c>
      <c r="D1" s="142" t="s">
        <v>177</v>
      </c>
      <c r="E1" s="142" t="s">
        <v>178</v>
      </c>
      <c r="F1" s="174"/>
      <c r="G1" s="174"/>
      <c r="H1" s="174"/>
      <c r="I1" s="174"/>
      <c r="J1" s="174"/>
      <c r="K1" s="174"/>
      <c r="L1" s="174"/>
      <c r="M1" s="174"/>
      <c r="N1" s="139" t="s">
        <v>188</v>
      </c>
      <c r="O1" s="139" t="s">
        <v>189</v>
      </c>
      <c r="P1" s="139" t="s">
        <v>243</v>
      </c>
      <c r="Q1" s="139" t="s">
        <v>211</v>
      </c>
      <c r="R1" s="139" t="s">
        <v>250</v>
      </c>
      <c r="S1" s="139" t="s">
        <v>249</v>
      </c>
      <c r="T1" s="139" t="s">
        <v>248</v>
      </c>
      <c r="U1" s="139" t="s">
        <v>49</v>
      </c>
      <c r="V1" s="139" t="s">
        <v>50</v>
      </c>
      <c r="W1" s="139" t="s">
        <v>212</v>
      </c>
      <c r="X1" s="139" t="s">
        <v>245</v>
      </c>
      <c r="Y1" s="139" t="s">
        <v>244</v>
      </c>
      <c r="Z1" s="174"/>
      <c r="AA1" s="174"/>
      <c r="AB1" s="174"/>
      <c r="AC1" s="174"/>
    </row>
    <row r="2" spans="1:29" x14ac:dyDescent="0.25">
      <c r="A2" s="174"/>
      <c r="B2" s="174"/>
      <c r="C2" s="174"/>
      <c r="D2" s="174"/>
      <c r="E2" s="174"/>
      <c r="F2" s="174"/>
      <c r="G2" s="174"/>
      <c r="H2" s="174"/>
      <c r="I2" s="174"/>
      <c r="J2" s="174"/>
      <c r="K2" s="174"/>
      <c r="L2" s="174"/>
      <c r="M2" s="174"/>
      <c r="N2" s="153" t="s">
        <v>179</v>
      </c>
      <c r="O2" s="153" t="s">
        <v>333</v>
      </c>
      <c r="P2" s="153"/>
      <c r="Q2" s="153"/>
      <c r="R2" s="153"/>
      <c r="S2" s="153"/>
      <c r="T2" s="153"/>
      <c r="U2" s="153"/>
      <c r="V2" s="153"/>
      <c r="W2" s="153"/>
      <c r="X2" s="155"/>
      <c r="Y2" s="153"/>
      <c r="Z2" s="174"/>
      <c r="AA2" s="174"/>
      <c r="AB2" s="174"/>
      <c r="AC2" s="174"/>
    </row>
    <row r="3" spans="1:29" x14ac:dyDescent="0.25">
      <c r="A3" s="143" t="s">
        <v>180</v>
      </c>
      <c r="B3" s="143" t="s">
        <v>86</v>
      </c>
      <c r="C3" s="143" t="s">
        <v>53</v>
      </c>
      <c r="D3" s="143" t="s">
        <v>49</v>
      </c>
      <c r="E3" s="143" t="s">
        <v>50</v>
      </c>
      <c r="F3" s="143" t="s">
        <v>54</v>
      </c>
      <c r="G3" s="143" t="s">
        <v>162</v>
      </c>
      <c r="H3" s="143" t="s">
        <v>163</v>
      </c>
      <c r="I3" s="143" t="s">
        <v>112</v>
      </c>
      <c r="J3" s="143" t="s">
        <v>164</v>
      </c>
      <c r="K3" s="143" t="s">
        <v>165</v>
      </c>
      <c r="L3" s="143" t="s">
        <v>76</v>
      </c>
      <c r="M3" s="174"/>
      <c r="N3" s="173" t="s">
        <v>200</v>
      </c>
      <c r="O3" s="175" t="str">
        <f>wp_axe</f>
        <v>Battle Axe</v>
      </c>
      <c r="P3" s="175">
        <v>3</v>
      </c>
      <c r="Q3" s="175"/>
      <c r="R3" s="175">
        <f>_xlfn.IFNA(VLOOKUP(wp_axe&amp;" "&amp;calc_lev,battle_axe,6,FALSE), "")</f>
        <v>0</v>
      </c>
      <c r="S3" s="175">
        <f>IF(calc_lev&gt;1, IF(ps_type=ps_giant, P3+1, P3)+1, IF(ps_type=ps_giant, P3+1, P3))</f>
        <v>3</v>
      </c>
      <c r="T3" s="175">
        <f t="shared" ref="T3:T25" si="0">total_damage+Q3+R3</f>
        <v>10</v>
      </c>
      <c r="U3" s="175">
        <f>_xlfn.IFNA(VLOOKUP(wp_axe&amp;" "&amp;calc_lev,battle_axe,2,FALSE), "")</f>
        <v>1</v>
      </c>
      <c r="V3" s="175">
        <f>_xlfn.IFNA(VLOOKUP(wp_axe&amp;" "&amp;calc_lev,battle_axe,3,FALSE), "")</f>
        <v>0</v>
      </c>
      <c r="W3" s="175"/>
      <c r="X3" s="155"/>
      <c r="Y3" s="175"/>
      <c r="Z3" s="174"/>
      <c r="AA3" s="174"/>
      <c r="AB3" s="174"/>
      <c r="AC3" s="174"/>
    </row>
    <row r="4" spans="1:29" x14ac:dyDescent="0.25">
      <c r="A4" s="176" t="str">
        <f>hth_none&amp;" "&amp;1</f>
        <v>None 1</v>
      </c>
      <c r="B4" s="173">
        <v>1</v>
      </c>
      <c r="C4" s="175"/>
      <c r="D4" s="153"/>
      <c r="E4" s="153"/>
      <c r="F4" s="175"/>
      <c r="G4" s="175"/>
      <c r="H4" s="175"/>
      <c r="I4" s="175"/>
      <c r="J4" s="175">
        <v>20</v>
      </c>
      <c r="K4" s="175"/>
      <c r="L4" s="175"/>
      <c r="M4" s="174"/>
      <c r="N4" s="175" t="s">
        <v>237</v>
      </c>
      <c r="O4" s="175" t="str">
        <f>wp_staff</f>
        <v>Staff</v>
      </c>
      <c r="P4" s="175">
        <v>2</v>
      </c>
      <c r="Q4" s="175"/>
      <c r="R4" s="175">
        <f>_xlfn.IFNA(VLOOKUP(wp_staff&amp;" "&amp;calc_lev,staff,6,FALSE), "")</f>
        <v>0</v>
      </c>
      <c r="S4" s="175">
        <f t="shared" ref="S4:S25" si="1">IF(ps_type=ps_giant, P4+1, P4)</f>
        <v>2</v>
      </c>
      <c r="T4" s="175">
        <f t="shared" si="0"/>
        <v>10</v>
      </c>
      <c r="U4" s="175">
        <f>_xlfn.IFNA(VLOOKUP(wp_staff&amp;" "&amp;calc_lev,staff,2,FALSE), "")</f>
        <v>1</v>
      </c>
      <c r="V4" s="175">
        <f>_xlfn.IFNA(VLOOKUP(wp_staff&amp;" "&amp;calc_lev,staff,3,FALSE), "")</f>
        <v>1</v>
      </c>
      <c r="W4" s="175"/>
      <c r="X4" s="155"/>
      <c r="Y4" s="175"/>
      <c r="Z4" s="174"/>
      <c r="AA4" s="175" t="s">
        <v>237</v>
      </c>
      <c r="AB4" s="175" t="str">
        <f>wp_staff</f>
        <v>Staff</v>
      </c>
      <c r="AC4" s="174"/>
    </row>
    <row r="5" spans="1:29" x14ac:dyDescent="0.25">
      <c r="A5" s="176" t="str">
        <f>hth_none&amp;" "&amp;2</f>
        <v>None 2</v>
      </c>
      <c r="B5" s="175">
        <v>1</v>
      </c>
      <c r="C5" s="175"/>
      <c r="D5" s="175"/>
      <c r="E5" s="175"/>
      <c r="F5" s="175"/>
      <c r="G5" s="175"/>
      <c r="H5" s="175"/>
      <c r="I5" s="175"/>
      <c r="J5" s="175">
        <v>20</v>
      </c>
      <c r="K5" s="175"/>
      <c r="L5" s="175"/>
      <c r="M5" s="174"/>
      <c r="N5" s="175" t="s">
        <v>241</v>
      </c>
      <c r="O5" s="175" t="str">
        <f>wp_whip</f>
        <v>Whip</v>
      </c>
      <c r="P5" s="175">
        <v>2</v>
      </c>
      <c r="Q5" s="175"/>
      <c r="R5" s="175">
        <f>_xlfn.IFNA(VLOOKUP(wp_whip&amp;" "&amp;calc_lev,whip,6,FALSE), "")</f>
        <v>0</v>
      </c>
      <c r="S5" s="175">
        <f t="shared" si="1"/>
        <v>2</v>
      </c>
      <c r="T5" s="175">
        <f t="shared" si="0"/>
        <v>10</v>
      </c>
      <c r="U5" s="175">
        <f>_xlfn.IFNA(VLOOKUP(wp_whip&amp;" "&amp;calc_lev,whip,2,FALSE), "")</f>
        <v>0</v>
      </c>
      <c r="V5" s="175" t="e">
        <f>VLOOKUP(wp_whip&amp;" "&amp;calc_lev,whip,3,FALSE)</f>
        <v>#N/A</v>
      </c>
      <c r="W5" s="175"/>
      <c r="X5" s="155" t="s">
        <v>210</v>
      </c>
      <c r="Y5" s="175">
        <f>_xlfn.IFNA(VLOOKUP(wp_whip&amp;" "&amp;calc_lev, whip, 5, FALSE), "")</f>
        <v>0</v>
      </c>
      <c r="Z5" s="174"/>
      <c r="AA5" s="175" t="s">
        <v>234</v>
      </c>
      <c r="AB5" s="175" t="str">
        <f>wp_spear</f>
        <v>Spear</v>
      </c>
      <c r="AC5" s="174"/>
    </row>
    <row r="6" spans="1:29" x14ac:dyDescent="0.25">
      <c r="A6" s="176" t="str">
        <f>hth_none&amp;" "&amp;3</f>
        <v>None 3</v>
      </c>
      <c r="B6" s="175">
        <v>1</v>
      </c>
      <c r="C6" s="175"/>
      <c r="D6" s="175"/>
      <c r="E6" s="175"/>
      <c r="F6" s="175"/>
      <c r="G6" s="175"/>
      <c r="H6" s="175"/>
      <c r="I6" s="175"/>
      <c r="J6" s="175">
        <v>20</v>
      </c>
      <c r="K6" s="175"/>
      <c r="L6" s="175"/>
      <c r="M6" s="174"/>
      <c r="N6" s="175" t="s">
        <v>239</v>
      </c>
      <c r="O6" s="175" t="str">
        <f>wp_sword</f>
        <v>Sword</v>
      </c>
      <c r="P6" s="175">
        <v>3</v>
      </c>
      <c r="Q6" s="175"/>
      <c r="R6" s="175">
        <f>_xlfn.IFNA(VLOOKUP(wp_sword&amp;" "&amp;calc_lev,sword,6,FALSE), "")</f>
        <v>0</v>
      </c>
      <c r="S6" s="175">
        <f t="shared" si="1"/>
        <v>3</v>
      </c>
      <c r="T6" s="175">
        <f t="shared" si="0"/>
        <v>10</v>
      </c>
      <c r="U6" s="175">
        <f>_xlfn.IFNA(VLOOKUP(wp_sword&amp;" "&amp;calc_lev,sword,2,FALSE), "")</f>
        <v>1</v>
      </c>
      <c r="V6" s="175">
        <f>_xlfn.IFNA(VLOOKUP(wp_sword&amp;" "&amp;calc_lev,sword,3,FALSE), "")</f>
        <v>0</v>
      </c>
      <c r="W6" s="175"/>
      <c r="X6" s="155"/>
      <c r="Y6" s="175"/>
      <c r="Z6" s="174"/>
      <c r="AA6" s="175" t="s">
        <v>233</v>
      </c>
      <c r="AB6" s="175" t="str">
        <f>wp_spear</f>
        <v>Spear</v>
      </c>
      <c r="AC6" s="174"/>
    </row>
    <row r="7" spans="1:29" x14ac:dyDescent="0.25">
      <c r="A7" s="176" t="str">
        <f>hth_none&amp;" "&amp;4</f>
        <v>None 4</v>
      </c>
      <c r="B7" s="175">
        <v>1</v>
      </c>
      <c r="C7" s="175"/>
      <c r="D7" s="175"/>
      <c r="E7" s="175"/>
      <c r="F7" s="175"/>
      <c r="G7" s="175"/>
      <c r="H7" s="175"/>
      <c r="I7" s="175"/>
      <c r="J7" s="175">
        <v>20</v>
      </c>
      <c r="K7" s="175"/>
      <c r="L7" s="175"/>
      <c r="M7" s="174"/>
      <c r="N7" s="175" t="s">
        <v>228</v>
      </c>
      <c r="O7" s="175" t="str">
        <f>wp_knife</f>
        <v>Knife</v>
      </c>
      <c r="P7" s="175">
        <v>1</v>
      </c>
      <c r="Q7" s="175"/>
      <c r="R7" s="175">
        <f>_xlfn.IFNA(VLOOKUP(wp_knife&amp;" "&amp;calc_lev,knife,6,FALSE), "")</f>
        <v>0</v>
      </c>
      <c r="S7" s="175">
        <f t="shared" si="1"/>
        <v>1</v>
      </c>
      <c r="T7" s="175">
        <f t="shared" si="0"/>
        <v>10</v>
      </c>
      <c r="U7" s="175">
        <f>_xlfn.IFNA(VLOOKUP(wp_knife&amp;" "&amp;calc_lev,knife,2,FALSE), "")</f>
        <v>0</v>
      </c>
      <c r="V7" s="175">
        <f>_xlfn.IFNA(VLOOKUP(wp_knife&amp;" "&amp;calc_lev,knife,3,FALSE), "")</f>
        <v>1</v>
      </c>
      <c r="W7" s="175">
        <v>40</v>
      </c>
      <c r="X7" s="155" t="s">
        <v>212</v>
      </c>
      <c r="Y7" s="175">
        <f>IF(ps_type=ps_giant,(VLOOKUP(wp_knife&amp;" "&amp;calc_lev,knife,7,FALSE)+W7)*1.2,_xlfn.IFNA(VLOOKUP(wp_knife&amp;" "&amp;calc_lev,knife,7,FALSE)+W7,""))</f>
        <v>40</v>
      </c>
      <c r="Z7" s="174"/>
      <c r="AA7" s="175" t="s">
        <v>236</v>
      </c>
      <c r="AB7" s="175" t="str">
        <f>wp_staff</f>
        <v>Staff</v>
      </c>
      <c r="AC7" s="174"/>
    </row>
    <row r="8" spans="1:29" x14ac:dyDescent="0.25">
      <c r="A8" s="176" t="str">
        <f>hth_none&amp;" "&amp;5</f>
        <v>None 5</v>
      </c>
      <c r="B8" s="175">
        <v>1</v>
      </c>
      <c r="C8" s="175"/>
      <c r="D8" s="175"/>
      <c r="E8" s="175"/>
      <c r="F8" s="175"/>
      <c r="G8" s="175"/>
      <c r="H8" s="175"/>
      <c r="I8" s="175"/>
      <c r="J8" s="175">
        <v>20</v>
      </c>
      <c r="K8" s="175"/>
      <c r="L8" s="175"/>
      <c r="M8" s="174"/>
      <c r="N8" s="175" t="s">
        <v>225</v>
      </c>
      <c r="O8" s="175" t="str">
        <f>wp_chain</f>
        <v>Chain</v>
      </c>
      <c r="P8" s="175">
        <v>2</v>
      </c>
      <c r="Q8" s="175"/>
      <c r="R8" s="175">
        <f>_xlfn.IFNA(VLOOKUP(wp_chain&amp;" "&amp;calc_lev,chain,6,FALSE), "")</f>
        <v>0</v>
      </c>
      <c r="S8" s="175">
        <f t="shared" si="1"/>
        <v>2</v>
      </c>
      <c r="T8" s="175">
        <f t="shared" si="0"/>
        <v>10</v>
      </c>
      <c r="U8" s="175">
        <f>_xlfn.IFNA(VLOOKUP(wp_chain&amp;" "&amp;calc_lev,chain,2,FALSE), "")</f>
        <v>1</v>
      </c>
      <c r="V8" s="175">
        <f>_xlfn.IFNA(VLOOKUP(wp_chain&amp;" "&amp;calc_lev,chain,3,FALSE), "")</f>
        <v>0</v>
      </c>
      <c r="W8" s="175"/>
      <c r="X8" s="155"/>
      <c r="Y8" s="175"/>
      <c r="Z8" s="174"/>
      <c r="AA8" s="174"/>
      <c r="AB8" s="174"/>
      <c r="AC8" s="174"/>
    </row>
    <row r="9" spans="1:29" x14ac:dyDescent="0.25">
      <c r="A9" s="176" t="str">
        <f>hth_none&amp;" "&amp;6</f>
        <v>None 6</v>
      </c>
      <c r="B9" s="175">
        <v>2</v>
      </c>
      <c r="C9" s="175"/>
      <c r="D9" s="175"/>
      <c r="E9" s="175"/>
      <c r="F9" s="175"/>
      <c r="G9" s="175"/>
      <c r="H9" s="175"/>
      <c r="I9" s="175"/>
      <c r="J9" s="175">
        <v>20</v>
      </c>
      <c r="K9" s="175"/>
      <c r="L9" s="175"/>
      <c r="M9" s="174"/>
      <c r="N9" s="175" t="s">
        <v>229</v>
      </c>
      <c r="O9" s="175" t="str">
        <f>wp_pole</f>
        <v>Pole Arm</v>
      </c>
      <c r="P9" s="175">
        <v>2</v>
      </c>
      <c r="Q9" s="175"/>
      <c r="R9" s="175">
        <f>_xlfn.IFNA(VLOOKUP(wp_pole&amp;" "&amp;calc_lev,pole_arm,6,FALSE), "")</f>
        <v>0</v>
      </c>
      <c r="S9" s="175">
        <f t="shared" si="1"/>
        <v>2</v>
      </c>
      <c r="T9" s="175">
        <f t="shared" si="0"/>
        <v>10</v>
      </c>
      <c r="U9" s="175">
        <f>_xlfn.IFNA(VLOOKUP(wp_pole&amp;" "&amp;calc_lev,pole_arm,2,FALSE), "")</f>
        <v>1</v>
      </c>
      <c r="V9" s="175">
        <f>_xlfn.IFNA(VLOOKUP(wp_pole&amp;" "&amp;calc_lev,pole_arm,3,FALSE), "")</f>
        <v>1</v>
      </c>
      <c r="W9" s="175"/>
      <c r="X9" s="155"/>
      <c r="Y9" s="175"/>
      <c r="Z9" s="174"/>
      <c r="AA9" s="174"/>
      <c r="AB9" s="174"/>
      <c r="AC9" s="174"/>
    </row>
    <row r="10" spans="1:29" x14ac:dyDescent="0.25">
      <c r="A10" s="176" t="str">
        <f>hth_none&amp;" "&amp;7</f>
        <v>None 7</v>
      </c>
      <c r="B10" s="175">
        <v>2</v>
      </c>
      <c r="C10" s="175"/>
      <c r="D10" s="175"/>
      <c r="E10" s="175"/>
      <c r="F10" s="175"/>
      <c r="G10" s="175"/>
      <c r="H10" s="175"/>
      <c r="I10" s="175"/>
      <c r="J10" s="175">
        <v>20</v>
      </c>
      <c r="K10" s="175"/>
      <c r="L10" s="175"/>
      <c r="M10" s="174"/>
      <c r="N10" s="175" t="s">
        <v>194</v>
      </c>
      <c r="O10" s="175" t="str">
        <f>wp_hook</f>
        <v>Grappling Hook</v>
      </c>
      <c r="P10" s="175">
        <v>1</v>
      </c>
      <c r="Q10" s="175"/>
      <c r="R10" s="175">
        <f>_xlfn.IFNA(VLOOKUP(wp_hook&amp;" "&amp;calc_lev,hook,6,FALSE), "")</f>
        <v>0</v>
      </c>
      <c r="S10" s="175">
        <f t="shared" si="1"/>
        <v>1</v>
      </c>
      <c r="T10" s="175">
        <f t="shared" si="0"/>
        <v>10</v>
      </c>
      <c r="U10" s="175">
        <f>_xlfn.IFNA(VLOOKUP(wp_hook&amp;" "&amp;calc_lev,hook,2,FALSE), "")</f>
        <v>0</v>
      </c>
      <c r="V10" s="175" t="e">
        <f>VLOOKUP(wp_hook&amp;" "&amp;calc_lev,hook,3,FALSE)</f>
        <v>#N/A</v>
      </c>
      <c r="W10" s="175"/>
      <c r="X10" s="155" t="s">
        <v>210</v>
      </c>
      <c r="Y10" s="175">
        <f>_xlfn.IFNA(VLOOKUP(wp_hook&amp;" "&amp;calc_lev, hook, 5, FALSE), "")</f>
        <v>0</v>
      </c>
      <c r="Z10" s="174"/>
      <c r="AA10" s="175" t="s">
        <v>237</v>
      </c>
      <c r="AB10" s="175" t="str">
        <f>wp_staff</f>
        <v>Staff</v>
      </c>
      <c r="AC10" s="174"/>
    </row>
    <row r="11" spans="1:29" x14ac:dyDescent="0.25">
      <c r="A11" s="176" t="str">
        <f>hth_none&amp;" "&amp;8</f>
        <v>None 8</v>
      </c>
      <c r="B11" s="175">
        <v>2</v>
      </c>
      <c r="C11" s="175"/>
      <c r="D11" s="175"/>
      <c r="E11" s="175"/>
      <c r="F11" s="175"/>
      <c r="G11" s="175"/>
      <c r="H11" s="175"/>
      <c r="I11" s="175"/>
      <c r="J11" s="175">
        <v>20</v>
      </c>
      <c r="K11" s="175"/>
      <c r="L11" s="175"/>
      <c r="M11" s="174"/>
      <c r="N11" s="173" t="s">
        <v>242</v>
      </c>
      <c r="O11" s="175" t="str">
        <f>wp_archery</f>
        <v>Archery</v>
      </c>
      <c r="P11" s="175">
        <v>2</v>
      </c>
      <c r="Q11" s="175"/>
      <c r="R11" s="175">
        <f>_xlfn.IFNA(VLOOKUP(wp_archery&amp;" "&amp;calc_lev,archery,6,FALSE), "")</f>
        <v>0</v>
      </c>
      <c r="S11" s="175">
        <f t="shared" si="1"/>
        <v>2</v>
      </c>
      <c r="T11" s="175">
        <f t="shared" si="0"/>
        <v>10</v>
      </c>
      <c r="U11" s="175">
        <f>_xlfn.IFNA(VLOOKUP(wp_archery&amp;" "&amp;calc_lev,archery,2,FALSE), "")</f>
        <v>0</v>
      </c>
      <c r="V11" s="175">
        <f>_xlfn.IFNA(VLOOKUP(wp_archery&amp;" "&amp;calc_lev,archery,3,FALSE), "")</f>
        <v>1</v>
      </c>
      <c r="W11" s="175">
        <v>600</v>
      </c>
      <c r="X11" s="155" t="s">
        <v>212</v>
      </c>
      <c r="Y11" s="175">
        <f>IF(ps_type=ps_giant,(VLOOKUP(wp_archery&amp;" "&amp;calc_lev,archery,7,FALSE)+W11)*1.2,_xlfn.IFNA(VLOOKUP(wp_archery&amp;" "&amp;calc_lev,archery,7,FALSE)+W11,""))</f>
        <v>620</v>
      </c>
      <c r="Z11" s="174"/>
      <c r="AA11" s="175" t="s">
        <v>239</v>
      </c>
      <c r="AB11" s="175" t="str">
        <f>wp_sword</f>
        <v>Sword</v>
      </c>
      <c r="AC11" s="174"/>
    </row>
    <row r="12" spans="1:29" x14ac:dyDescent="0.25">
      <c r="A12" s="176" t="str">
        <f>hth_none&amp;" "&amp;9</f>
        <v>None 9</v>
      </c>
      <c r="B12" s="175">
        <v>2</v>
      </c>
      <c r="C12" s="175"/>
      <c r="D12" s="175"/>
      <c r="E12" s="175"/>
      <c r="F12" s="175"/>
      <c r="G12" s="175"/>
      <c r="H12" s="175"/>
      <c r="I12" s="175"/>
      <c r="J12" s="175">
        <v>20</v>
      </c>
      <c r="K12" s="175"/>
      <c r="L12" s="175"/>
      <c r="M12" s="174"/>
      <c r="N12" s="175" t="s">
        <v>224</v>
      </c>
      <c r="O12" s="175" t="str">
        <f>wp_blunt</f>
        <v>Blunt</v>
      </c>
      <c r="P12" s="175">
        <v>3</v>
      </c>
      <c r="Q12" s="175"/>
      <c r="R12" s="175">
        <f>_xlfn.IFNA(VLOOKUP(wp_blunt&amp;" "&amp;calc_lev,blunt,6,FALSE), "")</f>
        <v>0</v>
      </c>
      <c r="S12" s="175">
        <f t="shared" si="1"/>
        <v>3</v>
      </c>
      <c r="T12" s="175">
        <f t="shared" si="0"/>
        <v>10</v>
      </c>
      <c r="U12" s="175">
        <f>_xlfn.IFNA(VLOOKUP(wp_blunt&amp;" "&amp;calc_lev,blunt,2,FALSE), "")</f>
        <v>1</v>
      </c>
      <c r="V12" s="175">
        <f>_xlfn.IFNA(VLOOKUP(wp_blunt&amp;" "&amp;calc_lev,blunt,3,FALSE), "")</f>
        <v>1</v>
      </c>
      <c r="W12" s="175"/>
      <c r="X12" s="155"/>
      <c r="Y12" s="175"/>
      <c r="Z12" s="174"/>
      <c r="AA12" s="175" t="s">
        <v>228</v>
      </c>
      <c r="AB12" s="175" t="str">
        <f>wp_knife</f>
        <v>Knife</v>
      </c>
      <c r="AC12" s="174"/>
    </row>
    <row r="13" spans="1:29" x14ac:dyDescent="0.25">
      <c r="A13" s="176" t="str">
        <f>hth_none&amp;" "&amp;10</f>
        <v>None 10</v>
      </c>
      <c r="B13" s="175">
        <v>2</v>
      </c>
      <c r="C13" s="175"/>
      <c r="D13" s="175"/>
      <c r="E13" s="175"/>
      <c r="F13" s="175"/>
      <c r="G13" s="175"/>
      <c r="H13" s="175"/>
      <c r="I13" s="175"/>
      <c r="J13" s="175">
        <v>20</v>
      </c>
      <c r="K13" s="175"/>
      <c r="L13" s="175"/>
      <c r="M13" s="174"/>
      <c r="N13" s="175" t="s">
        <v>235</v>
      </c>
      <c r="O13" s="175" t="str">
        <f>wp_spear</f>
        <v>Spear</v>
      </c>
      <c r="P13" s="175">
        <v>2</v>
      </c>
      <c r="Q13" s="175">
        <v>2</v>
      </c>
      <c r="R13" s="175">
        <f>_xlfn.IFNA(VLOOKUP(wp_spear&amp;" "&amp;calc_lev,spear,6,FALSE), "")</f>
        <v>0</v>
      </c>
      <c r="S13" s="175">
        <f t="shared" si="1"/>
        <v>2</v>
      </c>
      <c r="T13" s="175">
        <f t="shared" si="0"/>
        <v>12</v>
      </c>
      <c r="U13" s="175">
        <f>_xlfn.IFNA(VLOOKUP(wp_spear&amp;" "&amp;calc_lev,spear,2,FALSE), "")</f>
        <v>1</v>
      </c>
      <c r="V13" s="175">
        <f>_xlfn.IFNA(VLOOKUP(wp_spear&amp;" "&amp;calc_lev,spear,3,FALSE), "")</f>
        <v>1</v>
      </c>
      <c r="W13" s="175"/>
      <c r="X13" s="155"/>
      <c r="Y13" s="175"/>
      <c r="Z13" s="174"/>
      <c r="AA13" s="175" t="s">
        <v>225</v>
      </c>
      <c r="AB13" s="175" t="str">
        <f>wp_chain</f>
        <v>Chain</v>
      </c>
      <c r="AC13" s="174"/>
    </row>
    <row r="14" spans="1:29" x14ac:dyDescent="0.25">
      <c r="A14" s="176" t="str">
        <f>hth_none&amp;" "&amp;11</f>
        <v>None 11</v>
      </c>
      <c r="B14" s="175">
        <v>2</v>
      </c>
      <c r="C14" s="175"/>
      <c r="D14" s="175"/>
      <c r="E14" s="175"/>
      <c r="F14" s="175"/>
      <c r="G14" s="175"/>
      <c r="H14" s="175"/>
      <c r="I14" s="175"/>
      <c r="J14" s="175">
        <v>20</v>
      </c>
      <c r="K14" s="175"/>
      <c r="L14" s="175"/>
      <c r="M14" s="174"/>
      <c r="N14" s="175" t="s">
        <v>234</v>
      </c>
      <c r="O14" s="175" t="str">
        <f>wp_spear</f>
        <v>Spear</v>
      </c>
      <c r="P14" s="175">
        <v>2</v>
      </c>
      <c r="Q14" s="175"/>
      <c r="R14" s="175">
        <f>_xlfn.IFNA(VLOOKUP(wp_spear&amp;" "&amp;calc_lev,spear,6,FALSE), "")</f>
        <v>0</v>
      </c>
      <c r="S14" s="175">
        <f t="shared" si="1"/>
        <v>2</v>
      </c>
      <c r="T14" s="175">
        <f t="shared" si="0"/>
        <v>10</v>
      </c>
      <c r="U14" s="175">
        <f>_xlfn.IFNA(VLOOKUP(wp_spear&amp;" "&amp;calc_lev,spear,2,FALSE), "")</f>
        <v>1</v>
      </c>
      <c r="V14" s="175">
        <f>_xlfn.IFNA(VLOOKUP(wp_spear&amp;" "&amp;calc_lev,spear,3,FALSE), "")</f>
        <v>1</v>
      </c>
      <c r="W14" s="175"/>
      <c r="X14" s="155"/>
      <c r="Y14" s="175"/>
      <c r="Z14" s="174"/>
      <c r="AA14" s="175" t="s">
        <v>224</v>
      </c>
      <c r="AB14" s="175" t="str">
        <f>wp_blunt</f>
        <v>Blunt</v>
      </c>
      <c r="AC14" s="174"/>
    </row>
    <row r="15" spans="1:29" x14ac:dyDescent="0.25">
      <c r="A15" s="176" t="str">
        <f>hth_none&amp;" "&amp;12</f>
        <v>None 12</v>
      </c>
      <c r="B15" s="175">
        <v>3</v>
      </c>
      <c r="C15" s="175"/>
      <c r="D15" s="175"/>
      <c r="E15" s="175"/>
      <c r="F15" s="175"/>
      <c r="G15" s="175"/>
      <c r="H15" s="175"/>
      <c r="I15" s="175"/>
      <c r="J15" s="175">
        <v>20</v>
      </c>
      <c r="K15" s="175"/>
      <c r="L15" s="175"/>
      <c r="M15" s="174"/>
      <c r="N15" s="175" t="s">
        <v>238</v>
      </c>
      <c r="O15" s="175" t="str">
        <f>wp_sword</f>
        <v>Sword</v>
      </c>
      <c r="P15" s="175">
        <v>2</v>
      </c>
      <c r="Q15" s="175"/>
      <c r="R15" s="175">
        <f>_xlfn.IFNA(VLOOKUP(wp_sword&amp;" "&amp;calc_lev,sword,6,FALSE), "")</f>
        <v>0</v>
      </c>
      <c r="S15" s="175">
        <f t="shared" si="1"/>
        <v>2</v>
      </c>
      <c r="T15" s="175">
        <f t="shared" si="0"/>
        <v>10</v>
      </c>
      <c r="U15" s="175">
        <f>_xlfn.IFNA(VLOOKUP(wp_sword&amp;" "&amp;calc_lev,sword,2,FALSE), "")</f>
        <v>1</v>
      </c>
      <c r="V15" s="175">
        <f>_xlfn.IFNA(VLOOKUP(wp_sword&amp;" "&amp;calc_lev,sword,3,FALSE), "")</f>
        <v>0</v>
      </c>
      <c r="W15" s="175"/>
      <c r="X15" s="155"/>
      <c r="Y15" s="175"/>
      <c r="Z15" s="174"/>
      <c r="AA15" s="175" t="s">
        <v>234</v>
      </c>
      <c r="AB15" s="175" t="str">
        <f>wp_spear</f>
        <v>Spear</v>
      </c>
      <c r="AC15" s="174"/>
    </row>
    <row r="16" spans="1:29" x14ac:dyDescent="0.25">
      <c r="A16" s="176" t="str">
        <f>hth_none&amp;" "&amp;13</f>
        <v>None 13</v>
      </c>
      <c r="B16" s="175">
        <v>3</v>
      </c>
      <c r="C16" s="175"/>
      <c r="D16" s="175"/>
      <c r="E16" s="175"/>
      <c r="F16" s="175"/>
      <c r="G16" s="175"/>
      <c r="H16" s="175"/>
      <c r="I16" s="175"/>
      <c r="J16" s="175">
        <v>20</v>
      </c>
      <c r="K16" s="175"/>
      <c r="L16" s="175"/>
      <c r="M16" s="174"/>
      <c r="N16" s="175" t="s">
        <v>223</v>
      </c>
      <c r="O16" s="175" t="str">
        <f>wp_blunt</f>
        <v>Blunt</v>
      </c>
      <c r="P16" s="175">
        <v>2</v>
      </c>
      <c r="Q16" s="175"/>
      <c r="R16" s="175">
        <f>_xlfn.IFNA(VLOOKUP(wp_blunt&amp;" "&amp;calc_lev,blunt,6,FALSE), "")</f>
        <v>0</v>
      </c>
      <c r="S16" s="175">
        <f t="shared" si="1"/>
        <v>2</v>
      </c>
      <c r="T16" s="175">
        <f t="shared" si="0"/>
        <v>10</v>
      </c>
      <c r="U16" s="175">
        <f>_xlfn.IFNA(VLOOKUP(wp_blunt&amp;" "&amp;calc_lev,blunt,2,FALSE), "")</f>
        <v>1</v>
      </c>
      <c r="V16" s="175">
        <f>_xlfn.IFNA(VLOOKUP(wp_blunt&amp;" "&amp;calc_lev,blunt,3,FALSE), "")</f>
        <v>1</v>
      </c>
      <c r="W16" s="175"/>
      <c r="X16" s="155"/>
      <c r="Y16" s="175"/>
      <c r="Z16" s="174"/>
      <c r="AA16" s="175" t="s">
        <v>238</v>
      </c>
      <c r="AB16" s="175" t="str">
        <f>wp_sword</f>
        <v>Sword</v>
      </c>
      <c r="AC16" s="174"/>
    </row>
    <row r="17" spans="1:29" x14ac:dyDescent="0.25">
      <c r="A17" s="176" t="str">
        <f>hth_none&amp;" "&amp;14</f>
        <v>None 14</v>
      </c>
      <c r="B17" s="175">
        <v>3</v>
      </c>
      <c r="C17" s="175"/>
      <c r="D17" s="175"/>
      <c r="E17" s="175"/>
      <c r="F17" s="175"/>
      <c r="G17" s="175"/>
      <c r="H17" s="175"/>
      <c r="I17" s="175"/>
      <c r="J17" s="175">
        <v>20</v>
      </c>
      <c r="K17" s="175"/>
      <c r="L17" s="175"/>
      <c r="M17" s="174"/>
      <c r="N17" s="175" t="s">
        <v>226</v>
      </c>
      <c r="O17" s="175" t="str">
        <f>wp_chain</f>
        <v>Chain</v>
      </c>
      <c r="P17" s="175">
        <v>3</v>
      </c>
      <c r="Q17" s="175"/>
      <c r="R17" s="175">
        <f>_xlfn.IFNA(VLOOKUP(wp_chain&amp;" "&amp;calc_lev,chain,6,FALSE), "")</f>
        <v>0</v>
      </c>
      <c r="S17" s="175">
        <f t="shared" si="1"/>
        <v>3</v>
      </c>
      <c r="T17" s="175">
        <f t="shared" si="0"/>
        <v>10</v>
      </c>
      <c r="U17" s="175">
        <f>_xlfn.IFNA(VLOOKUP(wp_chain&amp;" "&amp;calc_lev,chain,2,FALSE), "")</f>
        <v>1</v>
      </c>
      <c r="V17" s="175">
        <f>_xlfn.IFNA(VLOOKUP(wp_chain&amp;" "&amp;calc_lev,chain,3,FALSE), "")</f>
        <v>0</v>
      </c>
      <c r="W17" s="175"/>
      <c r="X17" s="155"/>
      <c r="Y17" s="175"/>
      <c r="Z17" s="174"/>
      <c r="AA17" s="175" t="s">
        <v>223</v>
      </c>
      <c r="AB17" s="175" t="str">
        <f>wp_blunt</f>
        <v>Blunt</v>
      </c>
      <c r="AC17" s="174"/>
    </row>
    <row r="18" spans="1:29" x14ac:dyDescent="0.25">
      <c r="A18" s="176" t="str">
        <f>hth_none&amp;" "&amp;15</f>
        <v>None 15</v>
      </c>
      <c r="B18" s="175">
        <v>3</v>
      </c>
      <c r="C18" s="175"/>
      <c r="D18" s="175"/>
      <c r="E18" s="175"/>
      <c r="F18" s="175"/>
      <c r="G18" s="175"/>
      <c r="H18" s="175"/>
      <c r="I18" s="175"/>
      <c r="J18" s="175">
        <v>20</v>
      </c>
      <c r="K18" s="175"/>
      <c r="L18" s="175"/>
      <c r="M18" s="174"/>
      <c r="N18" s="175" t="s">
        <v>230</v>
      </c>
      <c r="O18" s="175" t="str">
        <f>wp_pole</f>
        <v>Pole Arm</v>
      </c>
      <c r="P18" s="175">
        <v>3</v>
      </c>
      <c r="Q18" s="175"/>
      <c r="R18" s="175">
        <f>_xlfn.IFNA(VLOOKUP(wp_pole&amp;" "&amp;calc_lev,pole_arm,6,FALSE), "")</f>
        <v>0</v>
      </c>
      <c r="S18" s="175">
        <f t="shared" si="1"/>
        <v>3</v>
      </c>
      <c r="T18" s="175">
        <f t="shared" si="0"/>
        <v>10</v>
      </c>
      <c r="U18" s="175">
        <f>_xlfn.IFNA(VLOOKUP(wp_pole&amp;" "&amp;calc_lev,pole_arm,2,FALSE), "")</f>
        <v>1</v>
      </c>
      <c r="V18" s="175">
        <f>_xlfn.IFNA(VLOOKUP(wp_pole&amp;" "&amp;calc_lev,pole_arm,3,FALSE), "")</f>
        <v>1</v>
      </c>
      <c r="W18" s="175"/>
      <c r="X18" s="155"/>
      <c r="Y18" s="175"/>
      <c r="Z18" s="174"/>
      <c r="AA18" s="175" t="s">
        <v>226</v>
      </c>
      <c r="AB18" s="175" t="str">
        <f>wp_chain</f>
        <v>Chain</v>
      </c>
      <c r="AC18" s="174"/>
    </row>
    <row r="19" spans="1:29" x14ac:dyDescent="0.25">
      <c r="A19" s="176" t="str">
        <f>hth_basic&amp;" "&amp;1</f>
        <v>Basic 1</v>
      </c>
      <c r="B19" s="175">
        <v>4</v>
      </c>
      <c r="C19" s="175"/>
      <c r="D19" s="175"/>
      <c r="E19" s="175"/>
      <c r="F19" s="175"/>
      <c r="G19" s="175">
        <v>2</v>
      </c>
      <c r="H19" s="175">
        <v>2</v>
      </c>
      <c r="I19" s="175"/>
      <c r="J19" s="175">
        <v>20</v>
      </c>
      <c r="K19" s="175"/>
      <c r="L19" s="175"/>
      <c r="M19" s="174"/>
      <c r="N19" s="175" t="s">
        <v>222</v>
      </c>
      <c r="O19" s="175" t="str">
        <f>wp_archery</f>
        <v>Archery</v>
      </c>
      <c r="P19" s="175">
        <v>1</v>
      </c>
      <c r="Q19" s="175"/>
      <c r="R19" s="175">
        <f>_xlfn.IFNA(VLOOKUP(wp_archery&amp;" "&amp;calc_lev,archery,6,FALSE), "")</f>
        <v>0</v>
      </c>
      <c r="S19" s="175">
        <f t="shared" si="1"/>
        <v>1</v>
      </c>
      <c r="T19" s="175">
        <f t="shared" si="0"/>
        <v>10</v>
      </c>
      <c r="U19" s="175">
        <f>_xlfn.IFNA(VLOOKUP(wp_archery&amp;" "&amp;calc_lev,archery,2,FALSE), "")</f>
        <v>0</v>
      </c>
      <c r="V19" s="175">
        <f>_xlfn.IFNA(VLOOKUP(wp_archery&amp;" "&amp;calc_lev,archery,3,FALSE), "")</f>
        <v>1</v>
      </c>
      <c r="W19" s="175">
        <v>340</v>
      </c>
      <c r="X19" s="155" t="s">
        <v>212</v>
      </c>
      <c r="Y19" s="175">
        <f>IF(ps_type=ps_giant,(VLOOKUP(wp_archery&amp;" "&amp;calc_lev,archery,7,FALSE)+W19)*1.2,_xlfn.IFNA(VLOOKUP(wp_archery&amp;" "&amp;calc_lev,archery,7,FALSE)+W19,""))</f>
        <v>360</v>
      </c>
      <c r="Z19" s="174"/>
      <c r="AA19" s="175" t="s">
        <v>233</v>
      </c>
      <c r="AB19" s="175" t="str">
        <f>wp_spear</f>
        <v>Spear</v>
      </c>
      <c r="AC19" s="174"/>
    </row>
    <row r="20" spans="1:29" x14ac:dyDescent="0.25">
      <c r="A20" s="176" t="str">
        <f>hth_basic&amp;" "&amp;2</f>
        <v>Basic 2</v>
      </c>
      <c r="B20" s="175">
        <v>4</v>
      </c>
      <c r="C20" s="175"/>
      <c r="D20" s="175"/>
      <c r="E20" s="175">
        <v>2</v>
      </c>
      <c r="F20" s="175">
        <v>2</v>
      </c>
      <c r="G20" s="175">
        <v>2</v>
      </c>
      <c r="H20" s="175">
        <v>2</v>
      </c>
      <c r="I20" s="175"/>
      <c r="J20" s="175">
        <v>20</v>
      </c>
      <c r="K20" s="175"/>
      <c r="L20" s="175"/>
      <c r="M20" s="174"/>
      <c r="N20" s="175" t="s">
        <v>233</v>
      </c>
      <c r="O20" s="175" t="str">
        <f>wp_spear</f>
        <v>Spear</v>
      </c>
      <c r="P20" s="175">
        <v>1</v>
      </c>
      <c r="Q20" s="175"/>
      <c r="R20" s="175">
        <f>_xlfn.IFNA(VLOOKUP(wp_spear&amp;" "&amp;calc_lev,spear,6,FALSE), "")</f>
        <v>0</v>
      </c>
      <c r="S20" s="175">
        <f t="shared" si="1"/>
        <v>1</v>
      </c>
      <c r="T20" s="175">
        <f t="shared" si="0"/>
        <v>10</v>
      </c>
      <c r="U20" s="175">
        <f>_xlfn.IFNA(VLOOKUP(wp_spear&amp;" "&amp;calc_lev,spear,2,FALSE), "")</f>
        <v>1</v>
      </c>
      <c r="V20" s="175">
        <f>_xlfn.IFNA(VLOOKUP(wp_spear&amp;" "&amp;calc_lev,spear,3,FALSE), "")</f>
        <v>1</v>
      </c>
      <c r="W20" s="175">
        <v>100</v>
      </c>
      <c r="X20" s="155" t="s">
        <v>212</v>
      </c>
      <c r="Y20" s="175">
        <f>IF(ps_type=ps_giant,(VLOOKUP(wp_spear&amp;" "&amp;calc_lev,spear,7,FALSE)+W20)*1.2,_xlfn.IFNA(VLOOKUP(wp_spear&amp;" "&amp;calc_lev,spear,7,FALSE)+W20,""))</f>
        <v>100</v>
      </c>
      <c r="Z20" s="174"/>
      <c r="AA20" s="175" t="s">
        <v>236</v>
      </c>
      <c r="AB20" s="175" t="str">
        <f>wp_staff</f>
        <v>Staff</v>
      </c>
      <c r="AC20" s="174"/>
    </row>
    <row r="21" spans="1:29" x14ac:dyDescent="0.25">
      <c r="A21" s="176" t="str">
        <f>hth_basic&amp;" "&amp;3</f>
        <v>Basic 3</v>
      </c>
      <c r="B21" s="175">
        <v>4</v>
      </c>
      <c r="C21" s="175"/>
      <c r="D21" s="175"/>
      <c r="E21" s="175">
        <v>2</v>
      </c>
      <c r="F21" s="175">
        <v>2</v>
      </c>
      <c r="G21" s="175">
        <v>2</v>
      </c>
      <c r="H21" s="175">
        <v>2</v>
      </c>
      <c r="I21" s="175"/>
      <c r="J21" s="175">
        <v>20</v>
      </c>
      <c r="K21" s="175"/>
      <c r="L21" s="175"/>
      <c r="M21" s="174"/>
      <c r="N21" s="175" t="s">
        <v>236</v>
      </c>
      <c r="O21" s="175" t="str">
        <f>wp_staff</f>
        <v>Staff</v>
      </c>
      <c r="P21" s="175">
        <v>1</v>
      </c>
      <c r="Q21" s="175"/>
      <c r="R21" s="175">
        <f>_xlfn.IFNA(VLOOKUP(wp_staff&amp;" "&amp;calc_lev,staff,6,FALSE), "")</f>
        <v>0</v>
      </c>
      <c r="S21" s="175">
        <f t="shared" si="1"/>
        <v>1</v>
      </c>
      <c r="T21" s="175">
        <f t="shared" si="0"/>
        <v>10</v>
      </c>
      <c r="U21" s="175">
        <f>_xlfn.IFNA(VLOOKUP(wp_staff&amp;" "&amp;calc_lev,staff,2,FALSE), "")</f>
        <v>1</v>
      </c>
      <c r="V21" s="175">
        <f>_xlfn.IFNA(VLOOKUP(wp_staff&amp;" "&amp;calc_lev,staff,3,FALSE), "")</f>
        <v>1</v>
      </c>
      <c r="W21" s="175"/>
      <c r="X21" s="155"/>
      <c r="Y21" s="175"/>
      <c r="Z21" s="174"/>
      <c r="AA21" s="175" t="s">
        <v>232</v>
      </c>
      <c r="AB21" s="175" t="str">
        <f>wp_shield</f>
        <v>Shield</v>
      </c>
      <c r="AC21" s="174"/>
    </row>
    <row r="22" spans="1:29" x14ac:dyDescent="0.25">
      <c r="A22" s="176" t="str">
        <f>hth_basic&amp;" "&amp;4</f>
        <v>Basic 4</v>
      </c>
      <c r="B22" s="175">
        <v>5</v>
      </c>
      <c r="C22" s="175"/>
      <c r="D22" s="175"/>
      <c r="E22" s="175">
        <v>2</v>
      </c>
      <c r="F22" s="175">
        <v>2</v>
      </c>
      <c r="G22" s="175">
        <v>2</v>
      </c>
      <c r="H22" s="175">
        <v>2</v>
      </c>
      <c r="I22" s="175"/>
      <c r="J22" s="175">
        <v>20</v>
      </c>
      <c r="K22" s="175"/>
      <c r="L22" s="175"/>
      <c r="M22" s="174"/>
      <c r="N22" s="175" t="s">
        <v>240</v>
      </c>
      <c r="O22" s="175" t="str">
        <f>wp_target</f>
        <v>Targeting/Missile Weapons</v>
      </c>
      <c r="P22" s="175">
        <v>1</v>
      </c>
      <c r="Q22" s="175"/>
      <c r="R22" s="175">
        <f>_xlfn.IFNA(VLOOKUP(wp_target&amp;" "&amp;calc_lev,missile,6,FALSE), "")</f>
        <v>0</v>
      </c>
      <c r="S22" s="175">
        <f t="shared" si="1"/>
        <v>1</v>
      </c>
      <c r="T22" s="175">
        <f t="shared" si="0"/>
        <v>10</v>
      </c>
      <c r="U22" s="175">
        <f>_xlfn.IFNA(VLOOKUP(wp_target&amp;" "&amp;calc_lev,missile,2,FALSE), "")</f>
        <v>1</v>
      </c>
      <c r="V22" s="175">
        <f>_xlfn.IFNA(VLOOKUP(wp_target&amp;" "&amp;calc_lev,missile,3,FALSE), "")</f>
        <v>0</v>
      </c>
      <c r="W22" s="175">
        <v>80</v>
      </c>
      <c r="X22" s="155" t="s">
        <v>212</v>
      </c>
      <c r="Y22" s="175">
        <f>IF(ps_type=ps_giant,(VLOOKUP(wp_target&amp;" "&amp;calc_lev,missile,7,FALSE)+W22)*1.2,_xlfn.IFNA(VLOOKUP(wp_target&amp;" "&amp;calc_lev,missile,7,FALSE)+W22,""))</f>
        <v>80</v>
      </c>
      <c r="Z22" s="174"/>
      <c r="AA22" s="174"/>
      <c r="AB22" s="174"/>
      <c r="AC22" s="174"/>
    </row>
    <row r="23" spans="1:29" x14ac:dyDescent="0.25">
      <c r="A23" s="176" t="str">
        <f>hth_basic&amp;" "&amp;5</f>
        <v>Basic 5</v>
      </c>
      <c r="B23" s="175">
        <v>5</v>
      </c>
      <c r="C23" s="175"/>
      <c r="D23" s="175">
        <v>1</v>
      </c>
      <c r="E23" s="175">
        <v>2</v>
      </c>
      <c r="F23" s="175">
        <v>2</v>
      </c>
      <c r="G23" s="175">
        <v>2</v>
      </c>
      <c r="H23" s="175">
        <v>2</v>
      </c>
      <c r="I23" s="175"/>
      <c r="J23" s="175">
        <v>20</v>
      </c>
      <c r="K23" s="175"/>
      <c r="L23" s="175"/>
      <c r="M23" s="174"/>
      <c r="N23" s="175" t="s">
        <v>232</v>
      </c>
      <c r="O23" s="175" t="str">
        <f>wp_shield</f>
        <v>Shield</v>
      </c>
      <c r="P23" s="175">
        <v>1</v>
      </c>
      <c r="Q23" s="175"/>
      <c r="R23" s="175">
        <f>_xlfn.IFNA(VLOOKUP(wp_shield&amp;" "&amp;calc_lev,shield,6,FALSE), "")</f>
        <v>0</v>
      </c>
      <c r="S23" s="175">
        <f t="shared" si="1"/>
        <v>1</v>
      </c>
      <c r="T23" s="175">
        <f t="shared" si="0"/>
        <v>10</v>
      </c>
      <c r="U23" s="175">
        <f>_xlfn.IFNA(VLOOKUP(wp_shield&amp;" "&amp;calc_lev,shield,2,FALSE), "")</f>
        <v>0</v>
      </c>
      <c r="V23" s="175">
        <f>_xlfn.IFNA(VLOOKUP(wp_shield&amp;" "&amp;calc_lev,shield,3,FALSE), "")</f>
        <v>1</v>
      </c>
      <c r="W23" s="175"/>
      <c r="X23" s="155"/>
      <c r="Y23" s="175"/>
      <c r="Z23" s="174"/>
      <c r="AA23" s="174"/>
      <c r="AB23" s="174"/>
      <c r="AC23" s="174"/>
    </row>
    <row r="24" spans="1:29" x14ac:dyDescent="0.25">
      <c r="A24" s="176" t="str">
        <f>hth_basic&amp;" "&amp;6</f>
        <v>Basic 6</v>
      </c>
      <c r="B24" s="175">
        <v>5</v>
      </c>
      <c r="C24" s="175"/>
      <c r="D24" s="175">
        <v>1</v>
      </c>
      <c r="E24" s="175">
        <v>2</v>
      </c>
      <c r="F24" s="175">
        <v>2</v>
      </c>
      <c r="G24" s="175">
        <v>2</v>
      </c>
      <c r="H24" s="175">
        <v>2</v>
      </c>
      <c r="I24" s="175"/>
      <c r="J24" s="177" t="s">
        <v>183</v>
      </c>
      <c r="K24" s="175"/>
      <c r="L24" s="175"/>
      <c r="M24" s="174"/>
      <c r="N24" s="175" t="s">
        <v>227</v>
      </c>
      <c r="O24" s="175" t="str">
        <f>wp_forked</f>
        <v>Forked Weapons/Trident</v>
      </c>
      <c r="P24" s="175">
        <v>2</v>
      </c>
      <c r="Q24" s="175">
        <v>2</v>
      </c>
      <c r="R24" s="175">
        <f>_xlfn.IFNA(VLOOKUP(wp_forked&amp;" "&amp;calc_lev,forked,6,FALSE), "")</f>
        <v>0</v>
      </c>
      <c r="S24" s="175">
        <f t="shared" si="1"/>
        <v>2</v>
      </c>
      <c r="T24" s="175">
        <f t="shared" si="0"/>
        <v>12</v>
      </c>
      <c r="U24" s="175">
        <f>_xlfn.IFNA(VLOOKUP(wp_forked&amp;" "&amp;calc_lev,forked,2,FALSE), "")</f>
        <v>1</v>
      </c>
      <c r="V24" s="175">
        <f>_xlfn.IFNA(VLOOKUP(wp_forked&amp;" "&amp;calc_lev,forked,3,FALSE), "")</f>
        <v>1</v>
      </c>
      <c r="W24" s="175"/>
      <c r="X24" s="155" t="s">
        <v>210</v>
      </c>
      <c r="Y24" s="175">
        <f>_xlfn.IFNA(VLOOKUP(wp_forked&amp;" "&amp;calc_lev, forked, 5, FALSE), "")</f>
        <v>1</v>
      </c>
      <c r="Z24" s="174"/>
      <c r="AA24" s="174"/>
      <c r="AB24" s="174"/>
      <c r="AC24" s="174"/>
    </row>
    <row r="25" spans="1:29" x14ac:dyDescent="0.25">
      <c r="A25" s="176" t="str">
        <f>hth_basic&amp;" "&amp;7</f>
        <v>Basic 7</v>
      </c>
      <c r="B25" s="175">
        <v>5</v>
      </c>
      <c r="C25" s="175"/>
      <c r="D25" s="175">
        <v>1</v>
      </c>
      <c r="E25" s="175">
        <v>2</v>
      </c>
      <c r="F25" s="175">
        <v>2</v>
      </c>
      <c r="G25" s="175">
        <v>2</v>
      </c>
      <c r="H25" s="175">
        <v>2</v>
      </c>
      <c r="I25" s="175">
        <v>2</v>
      </c>
      <c r="J25" s="177" t="s">
        <v>183</v>
      </c>
      <c r="K25" s="175"/>
      <c r="L25" s="175"/>
      <c r="M25" s="174"/>
      <c r="N25" s="175" t="s">
        <v>231</v>
      </c>
      <c r="O25" s="175" t="str">
        <f>wp_pole</f>
        <v>Pole Arm</v>
      </c>
      <c r="P25" s="175">
        <v>4</v>
      </c>
      <c r="Q25" s="175"/>
      <c r="R25" s="175">
        <f>_xlfn.IFNA(VLOOKUP(wp_pole&amp;" "&amp;calc_lev,pole_arm,6,FALSE), "")</f>
        <v>0</v>
      </c>
      <c r="S25" s="175">
        <f t="shared" si="1"/>
        <v>4</v>
      </c>
      <c r="T25" s="175">
        <f t="shared" si="0"/>
        <v>10</v>
      </c>
      <c r="U25" s="175">
        <f>_xlfn.IFNA(VLOOKUP(wp_pole&amp;" "&amp;calc_lev,pole_arm,2,FALSE), "")</f>
        <v>1</v>
      </c>
      <c r="V25" s="175">
        <f>_xlfn.IFNA(VLOOKUP(wp_pole&amp;" "&amp;calc_lev,pole_arm,3,FALSE), "")</f>
        <v>1</v>
      </c>
      <c r="W25" s="175"/>
      <c r="X25" s="155"/>
      <c r="Y25" s="175"/>
      <c r="Z25" s="174"/>
      <c r="AA25" s="174"/>
      <c r="AB25" s="174"/>
      <c r="AC25" s="174"/>
    </row>
    <row r="26" spans="1:29" x14ac:dyDescent="0.25">
      <c r="A26" s="176" t="str">
        <f>hth_basic&amp;" "&amp;8</f>
        <v>Basic 8</v>
      </c>
      <c r="B26" s="175">
        <v>5</v>
      </c>
      <c r="C26" s="175"/>
      <c r="D26" s="175">
        <v>1</v>
      </c>
      <c r="E26" s="175">
        <v>2</v>
      </c>
      <c r="F26" s="175">
        <v>2</v>
      </c>
      <c r="G26" s="175">
        <v>2</v>
      </c>
      <c r="H26" s="175">
        <v>2</v>
      </c>
      <c r="I26" s="175">
        <v>2</v>
      </c>
      <c r="J26" s="177" t="s">
        <v>183</v>
      </c>
      <c r="K26" s="175"/>
      <c r="L26" s="175"/>
      <c r="M26" s="174"/>
      <c r="N26" s="174"/>
      <c r="O26" s="174"/>
      <c r="P26" s="174"/>
      <c r="Q26" s="174"/>
      <c r="R26" s="174"/>
      <c r="S26" s="174"/>
      <c r="T26" s="174"/>
      <c r="U26" s="174"/>
      <c r="V26" s="174"/>
      <c r="W26" s="174"/>
      <c r="X26" s="174"/>
      <c r="Y26" s="174"/>
    </row>
    <row r="27" spans="1:29" x14ac:dyDescent="0.25">
      <c r="A27" s="176" t="str">
        <f>hth_basic&amp;" "&amp;9</f>
        <v>Basic 9</v>
      </c>
      <c r="B27" s="175">
        <v>6</v>
      </c>
      <c r="C27" s="175"/>
      <c r="D27" s="175">
        <v>1</v>
      </c>
      <c r="E27" s="175">
        <v>2</v>
      </c>
      <c r="F27" s="175">
        <v>2</v>
      </c>
      <c r="G27" s="175">
        <v>2</v>
      </c>
      <c r="H27" s="175">
        <v>2</v>
      </c>
      <c r="I27" s="175">
        <v>2</v>
      </c>
      <c r="J27" s="177" t="s">
        <v>183</v>
      </c>
      <c r="K27" s="175"/>
      <c r="L27" s="175"/>
      <c r="M27" s="174"/>
      <c r="N27" s="139" t="s">
        <v>110</v>
      </c>
      <c r="O27" s="139" t="s">
        <v>113</v>
      </c>
      <c r="P27" s="139" t="s">
        <v>56</v>
      </c>
      <c r="Q27" s="139" t="s">
        <v>214</v>
      </c>
      <c r="R27" s="174"/>
      <c r="S27" s="174"/>
      <c r="T27" s="174"/>
      <c r="U27" s="174"/>
      <c r="V27" s="174"/>
      <c r="W27" s="174"/>
      <c r="X27" s="174"/>
      <c r="Y27" s="174"/>
    </row>
    <row r="28" spans="1:29" x14ac:dyDescent="0.25">
      <c r="A28" s="176" t="str">
        <f>hth_basic&amp;" "&amp;10</f>
        <v>Basic 10</v>
      </c>
      <c r="B28" s="175">
        <v>6</v>
      </c>
      <c r="C28" s="175"/>
      <c r="D28" s="175">
        <v>1</v>
      </c>
      <c r="E28" s="175">
        <v>2</v>
      </c>
      <c r="F28" s="175">
        <v>2</v>
      </c>
      <c r="G28" s="175">
        <v>4</v>
      </c>
      <c r="H28" s="175">
        <v>4</v>
      </c>
      <c r="I28" s="175">
        <v>2</v>
      </c>
      <c r="J28" s="177" t="s">
        <v>183</v>
      </c>
      <c r="K28" s="175"/>
      <c r="L28" s="175"/>
      <c r="M28" s="174"/>
      <c r="N28" s="153" t="s">
        <v>179</v>
      </c>
      <c r="O28" s="153"/>
      <c r="P28" s="153"/>
      <c r="Q28" s="153"/>
      <c r="R28" s="174"/>
      <c r="S28" s="174"/>
      <c r="T28" s="174"/>
      <c r="U28" s="174"/>
      <c r="V28" s="174"/>
      <c r="W28" s="174"/>
      <c r="X28" s="174"/>
      <c r="Y28" s="174"/>
    </row>
    <row r="29" spans="1:29" x14ac:dyDescent="0.25">
      <c r="A29" s="176" t="str">
        <f>hth_basic&amp;" "&amp;11</f>
        <v>Basic 11</v>
      </c>
      <c r="B29" s="175">
        <v>6</v>
      </c>
      <c r="C29" s="175"/>
      <c r="D29" s="175">
        <v>1</v>
      </c>
      <c r="E29" s="175">
        <v>3</v>
      </c>
      <c r="F29" s="175">
        <v>3</v>
      </c>
      <c r="G29" s="175">
        <v>4</v>
      </c>
      <c r="H29" s="175">
        <v>4</v>
      </c>
      <c r="I29" s="175">
        <v>2</v>
      </c>
      <c r="J29" s="177" t="s">
        <v>183</v>
      </c>
      <c r="K29" s="175"/>
      <c r="L29" s="175"/>
      <c r="M29" s="174"/>
      <c r="N29" s="175" t="s">
        <v>257</v>
      </c>
      <c r="O29" s="175">
        <v>5</v>
      </c>
      <c r="P29" s="175">
        <v>6</v>
      </c>
      <c r="Q29" s="175"/>
      <c r="R29" s="174"/>
      <c r="S29" s="174"/>
      <c r="T29" s="174"/>
      <c r="U29" s="174"/>
      <c r="V29" s="174"/>
      <c r="W29" s="174"/>
      <c r="X29" s="174"/>
      <c r="Y29" s="174"/>
    </row>
    <row r="30" spans="1:29" x14ac:dyDescent="0.25">
      <c r="A30" s="176" t="str">
        <f>hth_basic&amp;" "&amp;12</f>
        <v>Basic 12</v>
      </c>
      <c r="B30" s="175">
        <v>6</v>
      </c>
      <c r="C30" s="175"/>
      <c r="D30" s="175">
        <v>2</v>
      </c>
      <c r="E30" s="175">
        <v>3</v>
      </c>
      <c r="F30" s="175">
        <v>3</v>
      </c>
      <c r="G30" s="175">
        <v>4</v>
      </c>
      <c r="H30" s="175">
        <v>4</v>
      </c>
      <c r="I30" s="175">
        <v>2</v>
      </c>
      <c r="J30" s="177" t="s">
        <v>183</v>
      </c>
      <c r="K30" s="175"/>
      <c r="L30" s="175"/>
      <c r="M30" s="174"/>
      <c r="N30" s="175" t="s">
        <v>258</v>
      </c>
      <c r="O30" s="175">
        <v>8</v>
      </c>
      <c r="P30" s="175">
        <v>15</v>
      </c>
      <c r="Q30" s="175"/>
      <c r="R30" s="174"/>
      <c r="S30" s="174"/>
      <c r="T30" s="174"/>
      <c r="U30" s="174"/>
      <c r="V30" s="174"/>
      <c r="W30" s="174"/>
      <c r="X30" s="174"/>
      <c r="Y30" s="174"/>
    </row>
    <row r="31" spans="1:29" x14ac:dyDescent="0.25">
      <c r="A31" s="176" t="str">
        <f>hth_basic&amp;" "&amp;13</f>
        <v>Basic 13</v>
      </c>
      <c r="B31" s="175">
        <v>6</v>
      </c>
      <c r="C31" s="175"/>
      <c r="D31" s="175">
        <v>2</v>
      </c>
      <c r="E31" s="175">
        <v>3</v>
      </c>
      <c r="F31" s="175">
        <v>3</v>
      </c>
      <c r="G31" s="175">
        <v>4</v>
      </c>
      <c r="H31" s="175">
        <v>4</v>
      </c>
      <c r="I31" s="175">
        <v>2</v>
      </c>
      <c r="J31" s="177" t="s">
        <v>183</v>
      </c>
      <c r="K31" s="175"/>
      <c r="L31" s="175"/>
      <c r="M31" s="174"/>
      <c r="N31" s="175" t="s">
        <v>259</v>
      </c>
      <c r="O31" s="175">
        <v>10</v>
      </c>
      <c r="P31" s="175">
        <v>20</v>
      </c>
      <c r="Q31" s="175"/>
      <c r="R31" s="174"/>
      <c r="S31" s="174"/>
      <c r="T31" s="174"/>
      <c r="U31" s="174"/>
      <c r="V31" s="174"/>
      <c r="W31" s="174"/>
      <c r="X31" s="174"/>
      <c r="Y31" s="174"/>
    </row>
    <row r="32" spans="1:29" x14ac:dyDescent="0.25">
      <c r="A32" s="176" t="str">
        <f>hth_basic&amp;" "&amp;14</f>
        <v>Basic 14</v>
      </c>
      <c r="B32" s="175">
        <v>6</v>
      </c>
      <c r="C32" s="175"/>
      <c r="D32" s="175">
        <v>2</v>
      </c>
      <c r="E32" s="175">
        <v>3</v>
      </c>
      <c r="F32" s="175">
        <v>3</v>
      </c>
      <c r="G32" s="175">
        <v>4</v>
      </c>
      <c r="H32" s="175">
        <v>4</v>
      </c>
      <c r="I32" s="175">
        <v>4</v>
      </c>
      <c r="J32" s="177" t="s">
        <v>183</v>
      </c>
      <c r="K32" s="175"/>
      <c r="L32" s="175"/>
      <c r="M32" s="174"/>
      <c r="N32" s="175" t="s">
        <v>260</v>
      </c>
      <c r="O32" s="175">
        <v>11</v>
      </c>
      <c r="P32" s="175">
        <v>30</v>
      </c>
      <c r="Q32" s="175"/>
      <c r="R32" s="174"/>
      <c r="S32" s="174"/>
      <c r="T32" s="174"/>
      <c r="U32" s="174"/>
      <c r="V32" s="174"/>
      <c r="W32" s="174"/>
      <c r="X32" s="174"/>
      <c r="Y32" s="174"/>
    </row>
    <row r="33" spans="1:25" x14ac:dyDescent="0.25">
      <c r="A33" s="176" t="str">
        <f>hth_basic&amp;" "&amp;15</f>
        <v>Basic 15</v>
      </c>
      <c r="B33" s="175">
        <v>7</v>
      </c>
      <c r="C33" s="175"/>
      <c r="D33" s="175">
        <v>2</v>
      </c>
      <c r="E33" s="175">
        <v>3</v>
      </c>
      <c r="F33" s="175">
        <v>3</v>
      </c>
      <c r="G33" s="175">
        <v>4</v>
      </c>
      <c r="H33" s="175">
        <v>4</v>
      </c>
      <c r="I33" s="175">
        <v>4</v>
      </c>
      <c r="J33" s="177" t="s">
        <v>183</v>
      </c>
      <c r="K33" s="175"/>
      <c r="L33" s="175"/>
      <c r="M33" s="174"/>
      <c r="N33" s="175" t="s">
        <v>261</v>
      </c>
      <c r="O33" s="175">
        <v>13</v>
      </c>
      <c r="P33" s="175">
        <v>38</v>
      </c>
      <c r="Q33" s="178" t="s">
        <v>221</v>
      </c>
      <c r="R33" s="174"/>
      <c r="S33" s="174"/>
      <c r="T33" s="174"/>
      <c r="U33" s="174"/>
      <c r="V33" s="174"/>
      <c r="W33" s="174"/>
      <c r="X33" s="174"/>
      <c r="Y33" s="174"/>
    </row>
    <row r="34" spans="1:25" x14ac:dyDescent="0.25">
      <c r="A34" s="175" t="str">
        <f>hth_expert&amp;" "&amp;1</f>
        <v>Expert 1</v>
      </c>
      <c r="B34" s="175">
        <v>4</v>
      </c>
      <c r="C34" s="175"/>
      <c r="D34" s="179"/>
      <c r="E34" s="175"/>
      <c r="F34" s="175"/>
      <c r="G34" s="175">
        <v>2</v>
      </c>
      <c r="H34" s="175">
        <v>2</v>
      </c>
      <c r="I34" s="175"/>
      <c r="J34" s="175">
        <v>20</v>
      </c>
      <c r="K34" s="175"/>
      <c r="L34" s="175"/>
      <c r="M34" s="174"/>
      <c r="N34" s="175" t="s">
        <v>262</v>
      </c>
      <c r="O34" s="175">
        <v>14</v>
      </c>
      <c r="P34" s="175">
        <v>44</v>
      </c>
      <c r="Q34" s="178" t="s">
        <v>220</v>
      </c>
      <c r="R34" s="174"/>
      <c r="S34" s="174"/>
      <c r="T34" s="174"/>
      <c r="U34" s="174"/>
      <c r="V34" s="174"/>
      <c r="W34" s="174"/>
      <c r="X34" s="174"/>
      <c r="Y34" s="174"/>
    </row>
    <row r="35" spans="1:25" x14ac:dyDescent="0.25">
      <c r="A35" s="175" t="str">
        <f>hth_expert&amp;" "&amp;2</f>
        <v>Expert 2</v>
      </c>
      <c r="B35" s="175">
        <v>4</v>
      </c>
      <c r="C35" s="175"/>
      <c r="D35" s="175"/>
      <c r="E35" s="175">
        <v>3</v>
      </c>
      <c r="F35" s="175">
        <v>3</v>
      </c>
      <c r="G35" s="175">
        <v>2</v>
      </c>
      <c r="H35" s="175">
        <v>2</v>
      </c>
      <c r="I35" s="175"/>
      <c r="J35" s="175">
        <v>20</v>
      </c>
      <c r="K35" s="175"/>
      <c r="L35" s="175"/>
      <c r="M35" s="174"/>
      <c r="N35" s="175" t="s">
        <v>215</v>
      </c>
      <c r="O35" s="175">
        <v>9</v>
      </c>
      <c r="P35" s="175">
        <v>20</v>
      </c>
      <c r="Q35" s="178" t="s">
        <v>220</v>
      </c>
      <c r="R35" s="174"/>
      <c r="S35" s="174"/>
      <c r="T35" s="174"/>
      <c r="U35" s="174"/>
      <c r="V35" s="174"/>
      <c r="W35" s="174"/>
      <c r="X35" s="174"/>
      <c r="Y35" s="174"/>
    </row>
    <row r="36" spans="1:25" x14ac:dyDescent="0.25">
      <c r="A36" s="175" t="str">
        <f>hth_expert&amp;" "&amp;3</f>
        <v>Expert 3</v>
      </c>
      <c r="B36" s="175">
        <v>4</v>
      </c>
      <c r="C36" s="175"/>
      <c r="D36" s="175">
        <v>2</v>
      </c>
      <c r="E36" s="175">
        <v>3</v>
      </c>
      <c r="F36" s="175">
        <v>3</v>
      </c>
      <c r="G36" s="175">
        <v>2</v>
      </c>
      <c r="H36" s="175">
        <v>2</v>
      </c>
      <c r="I36" s="175"/>
      <c r="J36" s="175">
        <v>20</v>
      </c>
      <c r="K36" s="175"/>
      <c r="L36" s="175"/>
      <c r="M36" s="174"/>
      <c r="N36" s="175" t="s">
        <v>263</v>
      </c>
      <c r="O36" s="175">
        <v>15</v>
      </c>
      <c r="P36" s="175">
        <v>55</v>
      </c>
      <c r="Q36" s="178" t="s">
        <v>220</v>
      </c>
      <c r="R36" s="174"/>
      <c r="S36" s="174"/>
      <c r="T36" s="174"/>
      <c r="U36" s="174"/>
      <c r="V36" s="174"/>
      <c r="W36" s="174"/>
      <c r="X36" s="174"/>
      <c r="Y36" s="174"/>
    </row>
    <row r="37" spans="1:25" x14ac:dyDescent="0.25">
      <c r="A37" s="175" t="str">
        <f>hth_expert&amp;" "&amp;4</f>
        <v>Expert 4</v>
      </c>
      <c r="B37" s="175">
        <v>5</v>
      </c>
      <c r="C37" s="175"/>
      <c r="D37" s="175">
        <v>2</v>
      </c>
      <c r="E37" s="175">
        <v>3</v>
      </c>
      <c r="F37" s="175">
        <v>3</v>
      </c>
      <c r="G37" s="175">
        <v>2</v>
      </c>
      <c r="H37" s="175">
        <v>2</v>
      </c>
      <c r="I37" s="175"/>
      <c r="J37" s="175">
        <v>20</v>
      </c>
      <c r="K37" s="175"/>
      <c r="L37" s="175"/>
      <c r="M37" s="174"/>
      <c r="N37" s="175" t="s">
        <v>216</v>
      </c>
      <c r="O37" s="175">
        <v>10</v>
      </c>
      <c r="P37" s="175">
        <v>28</v>
      </c>
      <c r="Q37" s="178" t="s">
        <v>220</v>
      </c>
      <c r="R37" s="174"/>
      <c r="S37" s="174"/>
      <c r="T37" s="174"/>
      <c r="U37" s="174"/>
      <c r="V37" s="174"/>
      <c r="W37" s="174"/>
      <c r="X37" s="174"/>
      <c r="Y37" s="174"/>
    </row>
    <row r="38" spans="1:25" x14ac:dyDescent="0.25">
      <c r="A38" s="175" t="str">
        <f>hth_expert&amp;" "&amp;5</f>
        <v>Expert 5</v>
      </c>
      <c r="B38" s="175">
        <v>5</v>
      </c>
      <c r="C38" s="175"/>
      <c r="D38" s="175">
        <v>2</v>
      </c>
      <c r="E38" s="175">
        <v>3</v>
      </c>
      <c r="F38" s="175">
        <v>3</v>
      </c>
      <c r="G38" s="175">
        <v>2</v>
      </c>
      <c r="H38" s="175">
        <v>2</v>
      </c>
      <c r="I38" s="175"/>
      <c r="J38" s="175">
        <v>20</v>
      </c>
      <c r="K38" s="175"/>
      <c r="L38" s="175"/>
      <c r="M38" s="174"/>
      <c r="N38" s="175" t="s">
        <v>264</v>
      </c>
      <c r="O38" s="175">
        <v>15</v>
      </c>
      <c r="P38" s="175">
        <v>75</v>
      </c>
      <c r="Q38" s="178" t="s">
        <v>220</v>
      </c>
      <c r="R38" s="174"/>
      <c r="S38" s="174"/>
      <c r="T38" s="174"/>
      <c r="U38" s="174"/>
      <c r="V38" s="174"/>
      <c r="W38" s="174"/>
      <c r="X38" s="174"/>
      <c r="Y38" s="174"/>
    </row>
    <row r="39" spans="1:25" x14ac:dyDescent="0.25">
      <c r="A39" s="175" t="str">
        <f>hth_expert&amp;" "&amp;6</f>
        <v>Expert 6</v>
      </c>
      <c r="B39" s="175">
        <v>5</v>
      </c>
      <c r="C39" s="175"/>
      <c r="D39" s="175">
        <v>2</v>
      </c>
      <c r="E39" s="175">
        <v>3</v>
      </c>
      <c r="F39" s="175">
        <v>3</v>
      </c>
      <c r="G39" s="175">
        <v>2</v>
      </c>
      <c r="H39" s="175">
        <v>2</v>
      </c>
      <c r="I39" s="175"/>
      <c r="J39" s="177" t="s">
        <v>181</v>
      </c>
      <c r="K39" s="175"/>
      <c r="L39" s="175"/>
      <c r="M39" s="174"/>
      <c r="N39" s="175" t="s">
        <v>217</v>
      </c>
      <c r="O39" s="175">
        <v>11</v>
      </c>
      <c r="P39" s="175">
        <v>35</v>
      </c>
      <c r="Q39" s="178" t="s">
        <v>220</v>
      </c>
      <c r="R39" s="174"/>
      <c r="S39" s="174"/>
      <c r="T39" s="174"/>
      <c r="U39" s="174"/>
      <c r="V39" s="174"/>
      <c r="W39" s="174"/>
      <c r="X39" s="174"/>
      <c r="Y39" s="174"/>
    </row>
    <row r="40" spans="1:25" x14ac:dyDescent="0.25">
      <c r="A40" s="175" t="str">
        <f>hth_expert&amp;" "&amp;7</f>
        <v>Expert 7</v>
      </c>
      <c r="B40" s="175">
        <v>5</v>
      </c>
      <c r="C40" s="175"/>
      <c r="D40" s="175">
        <v>2</v>
      </c>
      <c r="E40" s="175">
        <v>3</v>
      </c>
      <c r="F40" s="175">
        <v>3</v>
      </c>
      <c r="G40" s="175">
        <v>2</v>
      </c>
      <c r="H40" s="175">
        <v>2</v>
      </c>
      <c r="I40" s="175"/>
      <c r="J40" s="177" t="s">
        <v>181</v>
      </c>
      <c r="K40" s="175"/>
      <c r="L40" s="175"/>
      <c r="M40" s="174"/>
      <c r="N40" s="175" t="s">
        <v>265</v>
      </c>
      <c r="O40" s="175">
        <v>16</v>
      </c>
      <c r="P40" s="175">
        <v>82</v>
      </c>
      <c r="Q40" s="178" t="s">
        <v>247</v>
      </c>
      <c r="R40" s="174"/>
      <c r="S40" s="174"/>
      <c r="T40" s="174"/>
      <c r="U40" s="174"/>
      <c r="V40" s="174"/>
      <c r="W40" s="174"/>
      <c r="X40" s="174"/>
      <c r="Y40" s="174"/>
    </row>
    <row r="41" spans="1:25" x14ac:dyDescent="0.25">
      <c r="A41" s="175" t="str">
        <f>hth_expert&amp;" "&amp;8</f>
        <v>Expert 8</v>
      </c>
      <c r="B41" s="175">
        <v>5</v>
      </c>
      <c r="C41" s="175"/>
      <c r="D41" s="175">
        <v>2</v>
      </c>
      <c r="E41" s="175">
        <v>3</v>
      </c>
      <c r="F41" s="175">
        <v>3</v>
      </c>
      <c r="G41" s="175">
        <v>2</v>
      </c>
      <c r="H41" s="175">
        <v>2</v>
      </c>
      <c r="I41" s="175"/>
      <c r="J41" s="177" t="s">
        <v>181</v>
      </c>
      <c r="K41" s="175"/>
      <c r="L41" s="175"/>
      <c r="M41" s="174"/>
      <c r="N41" s="175" t="s">
        <v>218</v>
      </c>
      <c r="O41" s="175">
        <v>12</v>
      </c>
      <c r="P41" s="175">
        <v>40</v>
      </c>
      <c r="Q41" s="178" t="s">
        <v>247</v>
      </c>
      <c r="R41" s="174"/>
      <c r="S41" s="174"/>
      <c r="T41" s="174"/>
      <c r="U41" s="174"/>
      <c r="V41" s="174"/>
      <c r="W41" s="174"/>
      <c r="X41" s="174"/>
      <c r="Y41" s="174"/>
    </row>
    <row r="42" spans="1:25" x14ac:dyDescent="0.25">
      <c r="A42" s="175" t="str">
        <f>hth_expert&amp;" "&amp;9</f>
        <v>Expert 9</v>
      </c>
      <c r="B42" s="175">
        <v>6</v>
      </c>
      <c r="C42" s="175"/>
      <c r="D42" s="175">
        <v>2</v>
      </c>
      <c r="E42" s="175">
        <v>3</v>
      </c>
      <c r="F42" s="175">
        <v>3</v>
      </c>
      <c r="G42" s="175">
        <v>2</v>
      </c>
      <c r="H42" s="175">
        <v>2</v>
      </c>
      <c r="I42" s="175"/>
      <c r="J42" s="177" t="s">
        <v>181</v>
      </c>
      <c r="K42" s="175"/>
      <c r="L42" s="175"/>
      <c r="M42" s="174"/>
      <c r="N42" s="175" t="s">
        <v>266</v>
      </c>
      <c r="O42" s="175">
        <v>17</v>
      </c>
      <c r="P42" s="175">
        <v>160</v>
      </c>
      <c r="Q42" s="178" t="s">
        <v>247</v>
      </c>
      <c r="R42" s="174"/>
      <c r="S42" s="174"/>
      <c r="T42" s="174"/>
      <c r="U42" s="174"/>
      <c r="V42" s="174"/>
      <c r="W42" s="174"/>
      <c r="X42" s="174"/>
      <c r="Y42" s="174"/>
    </row>
    <row r="43" spans="1:25" x14ac:dyDescent="0.25">
      <c r="A43" s="175" t="str">
        <f>hth_expert&amp;" "&amp;10</f>
        <v>Expert 10</v>
      </c>
      <c r="B43" s="175">
        <v>6</v>
      </c>
      <c r="C43" s="175"/>
      <c r="D43" s="175">
        <v>2</v>
      </c>
      <c r="E43" s="175">
        <v>3</v>
      </c>
      <c r="F43" s="175">
        <v>3</v>
      </c>
      <c r="G43" s="175">
        <v>2</v>
      </c>
      <c r="H43" s="175">
        <v>4</v>
      </c>
      <c r="I43" s="175">
        <v>3</v>
      </c>
      <c r="J43" s="177" t="s">
        <v>181</v>
      </c>
      <c r="K43" s="175"/>
      <c r="L43" s="175"/>
      <c r="M43" s="174"/>
      <c r="N43" s="175" t="s">
        <v>219</v>
      </c>
      <c r="O43" s="175">
        <v>14</v>
      </c>
      <c r="P43" s="175">
        <v>60</v>
      </c>
      <c r="Q43" s="178" t="s">
        <v>247</v>
      </c>
      <c r="R43" s="174"/>
      <c r="S43" s="174"/>
      <c r="T43" s="174"/>
      <c r="U43" s="174"/>
      <c r="V43" s="174"/>
      <c r="W43" s="174"/>
      <c r="X43" s="174"/>
      <c r="Y43" s="174"/>
    </row>
    <row r="44" spans="1:25" x14ac:dyDescent="0.25">
      <c r="A44" s="175" t="str">
        <f>hth_expert&amp;" "&amp;11</f>
        <v>Expert 11</v>
      </c>
      <c r="B44" s="175">
        <v>6</v>
      </c>
      <c r="C44" s="175"/>
      <c r="D44" s="175">
        <v>2</v>
      </c>
      <c r="E44" s="175">
        <v>3</v>
      </c>
      <c r="F44" s="175">
        <v>3</v>
      </c>
      <c r="G44" s="175">
        <v>2</v>
      </c>
      <c r="H44" s="175">
        <v>4</v>
      </c>
      <c r="I44" s="175">
        <v>3</v>
      </c>
      <c r="J44" s="177" t="s">
        <v>181</v>
      </c>
      <c r="K44" s="177" t="s">
        <v>181</v>
      </c>
      <c r="L44" s="175"/>
      <c r="M44" s="174"/>
      <c r="N44" s="175" t="s">
        <v>267</v>
      </c>
      <c r="O44" s="175">
        <v>15</v>
      </c>
      <c r="P44" s="175">
        <v>100</v>
      </c>
      <c r="Q44" s="178" t="s">
        <v>247</v>
      </c>
      <c r="R44" s="174"/>
      <c r="S44" s="174"/>
      <c r="T44" s="174"/>
      <c r="U44" s="174"/>
      <c r="V44" s="174"/>
      <c r="W44" s="174"/>
      <c r="X44" s="174"/>
      <c r="Y44" s="174"/>
    </row>
    <row r="45" spans="1:25" x14ac:dyDescent="0.25">
      <c r="A45" s="175" t="str">
        <f>hth_expert&amp;" "&amp;12</f>
        <v>Expert 12</v>
      </c>
      <c r="B45" s="175">
        <v>6</v>
      </c>
      <c r="C45" s="175"/>
      <c r="D45" s="175">
        <v>2</v>
      </c>
      <c r="E45" s="175">
        <v>5</v>
      </c>
      <c r="F45" s="175">
        <v>5</v>
      </c>
      <c r="G45" s="175">
        <v>2</v>
      </c>
      <c r="H45" s="175">
        <v>4</v>
      </c>
      <c r="I45" s="175">
        <v>3</v>
      </c>
      <c r="J45" s="177" t="s">
        <v>181</v>
      </c>
      <c r="K45" s="177" t="s">
        <v>181</v>
      </c>
      <c r="L45" s="175"/>
      <c r="M45" s="174"/>
      <c r="N45" s="174"/>
      <c r="O45" s="174"/>
      <c r="P45" s="174"/>
      <c r="Q45" s="174"/>
      <c r="R45" s="174"/>
      <c r="S45" s="174"/>
      <c r="T45" s="174"/>
      <c r="U45" s="174"/>
      <c r="V45" s="174"/>
      <c r="W45" s="174"/>
      <c r="X45" s="174"/>
      <c r="Y45" s="174"/>
    </row>
    <row r="46" spans="1:25" x14ac:dyDescent="0.25">
      <c r="A46" s="175" t="str">
        <f>hth_expert&amp;" "&amp;13</f>
        <v>Expert 13</v>
      </c>
      <c r="B46" s="175">
        <v>6</v>
      </c>
      <c r="C46" s="175"/>
      <c r="D46" s="175">
        <v>2</v>
      </c>
      <c r="E46" s="175">
        <v>5</v>
      </c>
      <c r="F46" s="175">
        <v>5</v>
      </c>
      <c r="G46" s="175">
        <v>2</v>
      </c>
      <c r="H46" s="175">
        <v>4</v>
      </c>
      <c r="I46" s="175">
        <v>3</v>
      </c>
      <c r="J46" s="177" t="s">
        <v>181</v>
      </c>
      <c r="K46" s="177" t="s">
        <v>181</v>
      </c>
      <c r="L46" s="175"/>
      <c r="M46" s="174"/>
      <c r="N46" s="174"/>
      <c r="O46" s="174"/>
      <c r="P46" s="174"/>
      <c r="Q46" s="174"/>
      <c r="R46" s="174"/>
      <c r="S46" s="174"/>
      <c r="T46" s="174"/>
      <c r="U46" s="174"/>
      <c r="V46" s="174"/>
      <c r="W46" s="174"/>
      <c r="X46" s="174"/>
      <c r="Y46" s="174"/>
    </row>
    <row r="47" spans="1:25" x14ac:dyDescent="0.25">
      <c r="A47" s="175" t="str">
        <f>hth_expert&amp;" "&amp;14</f>
        <v>Expert 14</v>
      </c>
      <c r="B47" s="175">
        <v>7</v>
      </c>
      <c r="C47" s="175"/>
      <c r="D47" s="175">
        <v>2</v>
      </c>
      <c r="E47" s="175">
        <v>5</v>
      </c>
      <c r="F47" s="175">
        <v>5</v>
      </c>
      <c r="G47" s="175">
        <v>2</v>
      </c>
      <c r="H47" s="175">
        <v>4</v>
      </c>
      <c r="I47" s="175">
        <v>3</v>
      </c>
      <c r="J47" s="177" t="s">
        <v>181</v>
      </c>
      <c r="K47" s="177" t="s">
        <v>181</v>
      </c>
      <c r="L47" s="175"/>
      <c r="M47" s="174"/>
      <c r="N47" s="174"/>
      <c r="O47" s="174"/>
      <c r="P47" s="174"/>
      <c r="Q47" s="174"/>
      <c r="R47" s="174"/>
      <c r="S47" s="174"/>
      <c r="T47" s="174"/>
      <c r="U47" s="174"/>
      <c r="V47" s="174"/>
      <c r="W47" s="174"/>
      <c r="X47" s="174"/>
      <c r="Y47" s="174"/>
    </row>
    <row r="48" spans="1:25" x14ac:dyDescent="0.25">
      <c r="A48" s="175" t="str">
        <f>hth_expert&amp;" "&amp;15</f>
        <v>Expert 15</v>
      </c>
      <c r="B48" s="175">
        <v>7</v>
      </c>
      <c r="C48" s="175"/>
      <c r="D48" s="175">
        <v>2</v>
      </c>
      <c r="E48" s="175">
        <v>5</v>
      </c>
      <c r="F48" s="175">
        <v>5</v>
      </c>
      <c r="G48" s="175">
        <v>2</v>
      </c>
      <c r="H48" s="175">
        <v>4</v>
      </c>
      <c r="I48" s="175">
        <v>3</v>
      </c>
      <c r="J48" s="177" t="s">
        <v>181</v>
      </c>
      <c r="K48" s="177" t="s">
        <v>181</v>
      </c>
      <c r="L48" s="175">
        <v>20</v>
      </c>
      <c r="M48" s="174"/>
      <c r="N48" s="174"/>
      <c r="O48" s="174"/>
      <c r="P48" s="174"/>
      <c r="Q48" s="174"/>
      <c r="R48" s="174"/>
      <c r="S48" s="174"/>
      <c r="T48" s="174"/>
      <c r="U48" s="174"/>
      <c r="V48" s="174"/>
      <c r="W48" s="174"/>
      <c r="X48" s="174"/>
      <c r="Y48" s="174"/>
    </row>
    <row r="49" spans="1:25" x14ac:dyDescent="0.25">
      <c r="A49" s="175" t="str">
        <f>hth_ma&amp;" "&amp;1</f>
        <v>Martial Arts 1</v>
      </c>
      <c r="B49" s="175">
        <v>4</v>
      </c>
      <c r="C49" s="175"/>
      <c r="D49" s="175"/>
      <c r="E49" s="175"/>
      <c r="F49" s="175"/>
      <c r="G49" s="175">
        <v>3</v>
      </c>
      <c r="H49" s="175">
        <v>3</v>
      </c>
      <c r="I49" s="175"/>
      <c r="J49" s="175">
        <v>20</v>
      </c>
      <c r="K49" s="175"/>
      <c r="L49" s="175"/>
      <c r="M49" s="174"/>
      <c r="N49" s="174"/>
      <c r="O49" s="174"/>
      <c r="P49" s="174"/>
      <c r="Q49" s="174"/>
      <c r="R49" s="174"/>
      <c r="S49" s="174"/>
      <c r="T49" s="174"/>
      <c r="U49" s="174"/>
      <c r="V49" s="174"/>
      <c r="W49" s="174"/>
      <c r="X49" s="174"/>
      <c r="Y49" s="174"/>
    </row>
    <row r="50" spans="1:25" x14ac:dyDescent="0.25">
      <c r="A50" s="175" t="str">
        <f>hth_ma&amp;" "&amp;2</f>
        <v>Martial Arts 2</v>
      </c>
      <c r="B50" s="175">
        <v>4</v>
      </c>
      <c r="C50" s="175"/>
      <c r="D50" s="175">
        <v>2</v>
      </c>
      <c r="E50" s="175">
        <v>3</v>
      </c>
      <c r="F50" s="175">
        <v>3</v>
      </c>
      <c r="G50" s="175">
        <v>3</v>
      </c>
      <c r="H50" s="175">
        <v>3</v>
      </c>
      <c r="I50" s="175"/>
      <c r="J50" s="175">
        <v>20</v>
      </c>
      <c r="K50" s="175"/>
      <c r="L50" s="175"/>
      <c r="M50" s="174"/>
      <c r="N50" s="174"/>
      <c r="O50" s="174"/>
      <c r="P50" s="174"/>
      <c r="Q50" s="174"/>
      <c r="R50" s="174"/>
      <c r="S50" s="174"/>
      <c r="T50" s="174"/>
      <c r="U50" s="174"/>
      <c r="V50" s="174"/>
      <c r="W50" s="174"/>
      <c r="X50" s="174"/>
      <c r="Y50" s="174"/>
    </row>
    <row r="51" spans="1:25" x14ac:dyDescent="0.25">
      <c r="A51" s="175" t="str">
        <f>hth_ma&amp;" "&amp;3</f>
        <v>Martial Arts 3</v>
      </c>
      <c r="B51" s="175">
        <v>4</v>
      </c>
      <c r="C51" s="175"/>
      <c r="D51" s="175">
        <v>2</v>
      </c>
      <c r="E51" s="175">
        <v>3</v>
      </c>
      <c r="F51" s="175">
        <v>3</v>
      </c>
      <c r="G51" s="175">
        <v>3</v>
      </c>
      <c r="H51" s="175">
        <v>3</v>
      </c>
      <c r="I51" s="175"/>
      <c r="J51" s="175">
        <v>20</v>
      </c>
      <c r="K51" s="175"/>
      <c r="L51" s="175"/>
      <c r="M51" s="174"/>
      <c r="N51" s="174"/>
      <c r="O51" s="174"/>
      <c r="P51" s="174"/>
      <c r="Q51" s="174"/>
      <c r="R51" s="174"/>
      <c r="S51" s="174"/>
      <c r="T51" s="174"/>
      <c r="U51" s="174"/>
      <c r="V51" s="174"/>
      <c r="W51" s="174"/>
      <c r="X51" s="174"/>
      <c r="Y51" s="174"/>
    </row>
    <row r="52" spans="1:25" x14ac:dyDescent="0.25">
      <c r="A52" s="175" t="str">
        <f>hth_ma&amp;" "&amp;4</f>
        <v>Martial Arts 4</v>
      </c>
      <c r="B52" s="175">
        <v>5</v>
      </c>
      <c r="C52" s="175"/>
      <c r="D52" s="175">
        <v>2</v>
      </c>
      <c r="E52" s="175">
        <v>3</v>
      </c>
      <c r="F52" s="175">
        <v>3</v>
      </c>
      <c r="G52" s="175">
        <v>3</v>
      </c>
      <c r="H52" s="175">
        <v>3</v>
      </c>
      <c r="I52" s="175"/>
      <c r="J52" s="175">
        <v>20</v>
      </c>
      <c r="K52" s="175"/>
      <c r="L52" s="175"/>
      <c r="M52" s="174"/>
      <c r="N52" s="174"/>
      <c r="O52" s="174"/>
      <c r="P52" s="174"/>
      <c r="Q52" s="174"/>
      <c r="R52" s="174"/>
      <c r="S52" s="174"/>
      <c r="T52" s="174"/>
      <c r="U52" s="174"/>
      <c r="V52" s="174"/>
      <c r="W52" s="174"/>
      <c r="X52" s="174"/>
      <c r="Y52" s="174"/>
    </row>
    <row r="53" spans="1:25" x14ac:dyDescent="0.25">
      <c r="A53" s="175" t="str">
        <f>hth_ma&amp;" "&amp;5</f>
        <v>Martial Arts 5</v>
      </c>
      <c r="B53" s="175">
        <v>5</v>
      </c>
      <c r="C53" s="175"/>
      <c r="D53" s="175">
        <v>2</v>
      </c>
      <c r="E53" s="175">
        <v>3</v>
      </c>
      <c r="F53" s="175">
        <v>3</v>
      </c>
      <c r="G53" s="175">
        <v>3</v>
      </c>
      <c r="H53" s="175">
        <v>3</v>
      </c>
      <c r="I53" s="175"/>
      <c r="J53" s="175">
        <v>20</v>
      </c>
      <c r="K53" s="175"/>
      <c r="L53" s="175"/>
      <c r="M53" s="174"/>
      <c r="N53" s="174"/>
      <c r="O53" s="174"/>
      <c r="P53" s="174"/>
      <c r="Q53" s="174"/>
      <c r="R53" s="174"/>
      <c r="S53" s="174"/>
      <c r="T53" s="174"/>
      <c r="U53" s="174"/>
      <c r="V53" s="174"/>
      <c r="W53" s="174"/>
      <c r="X53" s="174"/>
      <c r="Y53" s="174"/>
    </row>
    <row r="54" spans="1:25" x14ac:dyDescent="0.25">
      <c r="A54" s="175" t="str">
        <f>hth_ma&amp;" "&amp;6</f>
        <v>Martial Arts 6</v>
      </c>
      <c r="B54" s="175">
        <v>5</v>
      </c>
      <c r="C54" s="175"/>
      <c r="D54" s="175">
        <v>2</v>
      </c>
      <c r="E54" s="175">
        <v>3</v>
      </c>
      <c r="F54" s="175">
        <v>3</v>
      </c>
      <c r="G54" s="175">
        <v>3</v>
      </c>
      <c r="H54" s="175">
        <v>3</v>
      </c>
      <c r="I54" s="175"/>
      <c r="J54" s="177" t="s">
        <v>181</v>
      </c>
      <c r="K54" s="175"/>
      <c r="L54" s="175"/>
      <c r="M54" s="174"/>
      <c r="N54" s="174"/>
      <c r="O54" s="174"/>
      <c r="P54" s="174"/>
      <c r="Q54" s="174"/>
      <c r="R54" s="174"/>
      <c r="S54" s="174"/>
      <c r="T54" s="174"/>
      <c r="U54" s="174"/>
      <c r="V54" s="174"/>
      <c r="W54" s="174"/>
      <c r="X54" s="174"/>
      <c r="Y54" s="174"/>
    </row>
    <row r="55" spans="1:25" x14ac:dyDescent="0.25">
      <c r="A55" s="175" t="str">
        <f>hth_ma&amp;" "&amp;7</f>
        <v>Martial Arts 7</v>
      </c>
      <c r="B55" s="175">
        <v>5</v>
      </c>
      <c r="C55" s="175"/>
      <c r="D55" s="175">
        <v>2</v>
      </c>
      <c r="E55" s="175">
        <v>3</v>
      </c>
      <c r="F55" s="175">
        <v>3</v>
      </c>
      <c r="G55" s="175">
        <v>3</v>
      </c>
      <c r="H55" s="175">
        <v>3</v>
      </c>
      <c r="I55" s="175"/>
      <c r="J55" s="177" t="s">
        <v>181</v>
      </c>
      <c r="K55" s="175"/>
      <c r="L55" s="175"/>
      <c r="M55" s="174"/>
      <c r="N55" s="174"/>
      <c r="O55" s="174"/>
      <c r="P55" s="174"/>
      <c r="Q55" s="174"/>
      <c r="R55" s="174"/>
      <c r="S55" s="174"/>
      <c r="T55" s="174"/>
      <c r="U55" s="174"/>
      <c r="V55" s="174"/>
      <c r="W55" s="174"/>
      <c r="X55" s="174"/>
      <c r="Y55" s="174"/>
    </row>
    <row r="56" spans="1:25" x14ac:dyDescent="0.25">
      <c r="A56" s="175" t="str">
        <f>hth_ma&amp;" "&amp;8</f>
        <v>Martial Arts 8</v>
      </c>
      <c r="B56" s="175">
        <v>5</v>
      </c>
      <c r="C56" s="175"/>
      <c r="D56" s="175">
        <v>2</v>
      </c>
      <c r="E56" s="175">
        <v>3</v>
      </c>
      <c r="F56" s="175">
        <v>3</v>
      </c>
      <c r="G56" s="175">
        <v>3</v>
      </c>
      <c r="H56" s="175">
        <v>3</v>
      </c>
      <c r="I56" s="175"/>
      <c r="J56" s="177" t="s">
        <v>181</v>
      </c>
      <c r="K56" s="175"/>
      <c r="L56" s="175"/>
      <c r="M56" s="174"/>
      <c r="N56" s="174"/>
      <c r="O56" s="174"/>
      <c r="P56" s="174"/>
      <c r="Q56" s="174"/>
      <c r="R56" s="174"/>
      <c r="S56" s="174"/>
      <c r="T56" s="174"/>
      <c r="U56" s="174"/>
      <c r="V56" s="174"/>
      <c r="W56" s="174"/>
      <c r="X56" s="174"/>
      <c r="Y56" s="174"/>
    </row>
    <row r="57" spans="1:25" x14ac:dyDescent="0.25">
      <c r="A57" s="175" t="str">
        <f>hth_ma&amp;" "&amp;9</f>
        <v>Martial Arts 9</v>
      </c>
      <c r="B57" s="175">
        <v>6</v>
      </c>
      <c r="C57" s="175"/>
      <c r="D57" s="175">
        <v>2</v>
      </c>
      <c r="E57" s="175">
        <v>3</v>
      </c>
      <c r="F57" s="175">
        <v>3</v>
      </c>
      <c r="G57" s="175">
        <v>3</v>
      </c>
      <c r="H57" s="175">
        <v>3</v>
      </c>
      <c r="I57" s="175"/>
      <c r="J57" s="177" t="s">
        <v>181</v>
      </c>
      <c r="K57" s="175"/>
      <c r="L57" s="175"/>
      <c r="M57" s="174"/>
      <c r="N57" s="174"/>
      <c r="O57" s="174"/>
      <c r="P57" s="174"/>
      <c r="Q57" s="174"/>
      <c r="R57" s="174"/>
      <c r="S57" s="174"/>
      <c r="T57" s="174"/>
      <c r="U57" s="174"/>
      <c r="V57" s="174"/>
      <c r="W57" s="174"/>
      <c r="X57" s="174"/>
      <c r="Y57" s="174"/>
    </row>
    <row r="58" spans="1:25" x14ac:dyDescent="0.25">
      <c r="A58" s="175" t="str">
        <f>hth_ma&amp;" "&amp;10</f>
        <v>Martial Arts 10</v>
      </c>
      <c r="B58" s="175">
        <v>6</v>
      </c>
      <c r="C58" s="175">
        <v>1</v>
      </c>
      <c r="D58" s="175">
        <v>2</v>
      </c>
      <c r="E58" s="175">
        <v>3</v>
      </c>
      <c r="F58" s="175">
        <v>3</v>
      </c>
      <c r="G58" s="175">
        <v>3</v>
      </c>
      <c r="H58" s="175">
        <v>3</v>
      </c>
      <c r="I58" s="175"/>
      <c r="J58" s="177" t="s">
        <v>181</v>
      </c>
      <c r="K58" s="175"/>
      <c r="L58" s="175"/>
      <c r="M58" s="174"/>
      <c r="N58" s="174"/>
      <c r="O58" s="174"/>
      <c r="P58" s="174"/>
      <c r="Q58" s="174"/>
      <c r="R58" s="174"/>
      <c r="S58" s="174"/>
      <c r="T58" s="174"/>
      <c r="U58" s="174"/>
      <c r="V58" s="174"/>
      <c r="W58" s="174"/>
      <c r="X58" s="174"/>
      <c r="Y58" s="174"/>
    </row>
    <row r="59" spans="1:25" x14ac:dyDescent="0.25">
      <c r="A59" s="175" t="str">
        <f>hth_ma&amp;" "&amp;11</f>
        <v>Martial Arts 11</v>
      </c>
      <c r="B59" s="175">
        <v>6</v>
      </c>
      <c r="C59" s="175">
        <v>1</v>
      </c>
      <c r="D59" s="175">
        <v>2</v>
      </c>
      <c r="E59" s="175">
        <v>3</v>
      </c>
      <c r="F59" s="175">
        <v>3</v>
      </c>
      <c r="G59" s="175">
        <v>3</v>
      </c>
      <c r="H59" s="175">
        <v>3</v>
      </c>
      <c r="I59" s="175">
        <v>4</v>
      </c>
      <c r="J59" s="177" t="s">
        <v>181</v>
      </c>
      <c r="K59" s="175"/>
      <c r="L59" s="175"/>
      <c r="M59" s="174"/>
      <c r="N59" s="174"/>
      <c r="O59" s="174"/>
      <c r="P59" s="174"/>
      <c r="Q59" s="174"/>
      <c r="R59" s="174"/>
      <c r="S59" s="174"/>
      <c r="T59" s="174"/>
      <c r="U59" s="174"/>
      <c r="V59" s="174"/>
      <c r="W59" s="174"/>
      <c r="X59" s="174"/>
      <c r="Y59" s="174"/>
    </row>
    <row r="60" spans="1:25" x14ac:dyDescent="0.25">
      <c r="A60" s="175" t="str">
        <f>hth_ma&amp;" "&amp;12</f>
        <v>Martial Arts 12</v>
      </c>
      <c r="B60" s="175">
        <v>6</v>
      </c>
      <c r="C60" s="175">
        <v>1</v>
      </c>
      <c r="D60" s="175">
        <v>2</v>
      </c>
      <c r="E60" s="175">
        <v>5</v>
      </c>
      <c r="F60" s="175">
        <v>5</v>
      </c>
      <c r="G60" s="175">
        <v>3</v>
      </c>
      <c r="H60" s="175">
        <v>3</v>
      </c>
      <c r="I60" s="175">
        <v>4</v>
      </c>
      <c r="J60" s="177" t="s">
        <v>181</v>
      </c>
      <c r="K60" s="175"/>
      <c r="L60" s="175"/>
      <c r="M60" s="174"/>
      <c r="N60" s="174"/>
      <c r="O60" s="174"/>
      <c r="P60" s="174"/>
      <c r="Q60" s="174"/>
      <c r="R60" s="174"/>
      <c r="S60" s="174"/>
      <c r="T60" s="174"/>
      <c r="U60" s="174"/>
      <c r="V60" s="174"/>
      <c r="W60" s="174"/>
      <c r="X60" s="174"/>
      <c r="Y60" s="174"/>
    </row>
    <row r="61" spans="1:25" x14ac:dyDescent="0.25">
      <c r="A61" s="175" t="str">
        <f>hth_ma&amp;" "&amp;13</f>
        <v>Martial Arts 13</v>
      </c>
      <c r="B61" s="175">
        <v>6</v>
      </c>
      <c r="C61" s="175">
        <v>1</v>
      </c>
      <c r="D61" s="175">
        <v>2</v>
      </c>
      <c r="E61" s="175">
        <v>5</v>
      </c>
      <c r="F61" s="175">
        <v>5</v>
      </c>
      <c r="G61" s="175">
        <v>3</v>
      </c>
      <c r="H61" s="175">
        <v>3</v>
      </c>
      <c r="I61" s="175">
        <v>4</v>
      </c>
      <c r="J61" s="177" t="s">
        <v>181</v>
      </c>
      <c r="K61" s="177" t="s">
        <v>181</v>
      </c>
      <c r="L61" s="175"/>
      <c r="M61" s="174"/>
      <c r="N61" s="174"/>
      <c r="O61" s="174"/>
      <c r="P61" s="174"/>
      <c r="Q61" s="174"/>
      <c r="R61" s="174"/>
      <c r="S61" s="174"/>
      <c r="T61" s="174"/>
      <c r="U61" s="174"/>
      <c r="V61" s="174"/>
      <c r="W61" s="174"/>
      <c r="X61" s="174"/>
      <c r="Y61" s="174"/>
    </row>
    <row r="62" spans="1:25" x14ac:dyDescent="0.25">
      <c r="A62" s="175" t="str">
        <f>hth_ma&amp;" "&amp;14</f>
        <v>Martial Arts 14</v>
      </c>
      <c r="B62" s="175">
        <v>7</v>
      </c>
      <c r="C62" s="175">
        <v>1</v>
      </c>
      <c r="D62" s="175">
        <v>2</v>
      </c>
      <c r="E62" s="175">
        <v>5</v>
      </c>
      <c r="F62" s="175">
        <v>5</v>
      </c>
      <c r="G62" s="175">
        <v>3</v>
      </c>
      <c r="H62" s="175">
        <v>3</v>
      </c>
      <c r="I62" s="175">
        <v>4</v>
      </c>
      <c r="J62" s="177" t="s">
        <v>181</v>
      </c>
      <c r="K62" s="177" t="s">
        <v>181</v>
      </c>
      <c r="L62" s="175"/>
      <c r="M62" s="174"/>
      <c r="N62" s="174"/>
      <c r="O62" s="174"/>
      <c r="P62" s="174"/>
      <c r="Q62" s="174"/>
      <c r="R62" s="174"/>
      <c r="S62" s="174"/>
      <c r="T62" s="174"/>
      <c r="U62" s="174"/>
      <c r="V62" s="174"/>
      <c r="W62" s="174"/>
      <c r="X62" s="174"/>
      <c r="Y62" s="174"/>
    </row>
    <row r="63" spans="1:25" x14ac:dyDescent="0.25">
      <c r="A63" s="175" t="str">
        <f>hth_ma&amp;" "&amp;15</f>
        <v>Martial Arts 15</v>
      </c>
      <c r="B63" s="175">
        <v>7</v>
      </c>
      <c r="C63" s="175">
        <v>1</v>
      </c>
      <c r="D63" s="175">
        <v>2</v>
      </c>
      <c r="E63" s="175">
        <v>5</v>
      </c>
      <c r="F63" s="175">
        <v>5</v>
      </c>
      <c r="G63" s="175">
        <v>3</v>
      </c>
      <c r="H63" s="175">
        <v>3</v>
      </c>
      <c r="I63" s="175">
        <v>4</v>
      </c>
      <c r="J63" s="177" t="s">
        <v>181</v>
      </c>
      <c r="K63" s="177" t="s">
        <v>181</v>
      </c>
      <c r="L63" s="175">
        <v>20</v>
      </c>
      <c r="M63" s="174"/>
      <c r="N63" s="174"/>
      <c r="O63" s="174"/>
      <c r="P63" s="174"/>
      <c r="Q63" s="174"/>
      <c r="R63" s="174"/>
      <c r="S63" s="174"/>
      <c r="T63" s="174"/>
      <c r="U63" s="174"/>
      <c r="V63" s="174"/>
      <c r="W63" s="174"/>
      <c r="X63" s="174"/>
      <c r="Y63" s="174"/>
    </row>
    <row r="64" spans="1:25" x14ac:dyDescent="0.25">
      <c r="A64" s="175" t="str">
        <f>hth_assassin&amp;" "&amp;1</f>
        <v>Assassin 1</v>
      </c>
      <c r="B64" s="175">
        <v>3</v>
      </c>
      <c r="C64" s="175"/>
      <c r="D64" s="175">
        <v>2</v>
      </c>
      <c r="E64" s="175"/>
      <c r="F64" s="175"/>
      <c r="G64" s="175"/>
      <c r="H64" s="175"/>
      <c r="I64" s="175"/>
      <c r="J64" s="175">
        <v>20</v>
      </c>
      <c r="K64" s="175"/>
      <c r="L64" s="175"/>
      <c r="M64" s="174"/>
      <c r="N64" s="174"/>
      <c r="O64" s="174"/>
      <c r="P64" s="174"/>
      <c r="Q64" s="174"/>
      <c r="R64" s="174"/>
      <c r="S64" s="174"/>
      <c r="T64" s="174"/>
      <c r="U64" s="174"/>
      <c r="V64" s="174"/>
      <c r="W64" s="174"/>
      <c r="X64" s="174"/>
      <c r="Y64" s="174"/>
    </row>
    <row r="65" spans="1:25" x14ac:dyDescent="0.25">
      <c r="A65" s="175" t="str">
        <f>hth_assassin&amp;" "&amp;2</f>
        <v>Assassin 2</v>
      </c>
      <c r="B65" s="175">
        <v>5</v>
      </c>
      <c r="C65" s="175"/>
      <c r="D65" s="175">
        <v>2</v>
      </c>
      <c r="E65" s="175"/>
      <c r="F65" s="175"/>
      <c r="G65" s="175"/>
      <c r="H65" s="175"/>
      <c r="I65" s="175"/>
      <c r="J65" s="175">
        <v>20</v>
      </c>
      <c r="K65" s="175"/>
      <c r="L65" s="175"/>
      <c r="M65" s="174"/>
      <c r="N65" s="174"/>
      <c r="O65" s="174"/>
      <c r="P65" s="174"/>
      <c r="Q65" s="174"/>
      <c r="R65" s="174"/>
      <c r="S65" s="174"/>
      <c r="T65" s="174"/>
      <c r="U65" s="174"/>
      <c r="V65" s="174"/>
      <c r="W65" s="174"/>
      <c r="X65" s="174"/>
      <c r="Y65" s="174"/>
    </row>
    <row r="66" spans="1:25" x14ac:dyDescent="0.25">
      <c r="A66" s="175" t="str">
        <f>hth_assassin&amp;" "&amp;3</f>
        <v>Assassin 3</v>
      </c>
      <c r="B66" s="175">
        <v>5</v>
      </c>
      <c r="C66" s="175"/>
      <c r="D66" s="175">
        <v>2</v>
      </c>
      <c r="E66" s="175"/>
      <c r="F66" s="175"/>
      <c r="G66" s="175">
        <v>3</v>
      </c>
      <c r="H66" s="175">
        <v>3</v>
      </c>
      <c r="I66" s="175"/>
      <c r="J66" s="175">
        <v>20</v>
      </c>
      <c r="K66" s="175"/>
      <c r="L66" s="175"/>
      <c r="M66" s="174"/>
      <c r="N66" s="174"/>
      <c r="O66" s="174"/>
      <c r="P66" s="174"/>
      <c r="Q66" s="174"/>
      <c r="R66" s="174"/>
      <c r="S66" s="174"/>
      <c r="T66" s="174"/>
      <c r="U66" s="174"/>
      <c r="V66" s="174"/>
      <c r="W66" s="174"/>
      <c r="X66" s="174"/>
      <c r="Y66" s="174"/>
    </row>
    <row r="67" spans="1:25" x14ac:dyDescent="0.25">
      <c r="A67" s="175" t="str">
        <f>hth_assassin&amp;" "&amp;4</f>
        <v>Assassin 4</v>
      </c>
      <c r="B67" s="175">
        <v>5</v>
      </c>
      <c r="C67" s="175"/>
      <c r="D67" s="175">
        <v>2</v>
      </c>
      <c r="E67" s="175"/>
      <c r="F67" s="175"/>
      <c r="G67" s="175">
        <v>3</v>
      </c>
      <c r="H67" s="175">
        <v>3</v>
      </c>
      <c r="I67" s="175">
        <v>4</v>
      </c>
      <c r="J67" s="175">
        <v>20</v>
      </c>
      <c r="K67" s="175"/>
      <c r="L67" s="175"/>
      <c r="M67" s="174"/>
      <c r="N67" s="174"/>
      <c r="O67" s="174"/>
      <c r="P67" s="174"/>
      <c r="Q67" s="174"/>
      <c r="R67" s="174"/>
      <c r="S67" s="174"/>
      <c r="T67" s="174"/>
      <c r="U67" s="174"/>
      <c r="V67" s="174"/>
      <c r="W67" s="174"/>
      <c r="X67" s="174"/>
      <c r="Y67" s="174"/>
    </row>
    <row r="68" spans="1:25" x14ac:dyDescent="0.25">
      <c r="A68" s="175" t="str">
        <f>hth_assassin&amp;" "&amp;5</f>
        <v>Assassin 5</v>
      </c>
      <c r="B68" s="175">
        <v>6</v>
      </c>
      <c r="C68" s="175"/>
      <c r="D68" s="175">
        <v>2</v>
      </c>
      <c r="E68" s="175"/>
      <c r="F68" s="175"/>
      <c r="G68" s="175">
        <v>3</v>
      </c>
      <c r="H68" s="175">
        <v>3</v>
      </c>
      <c r="I68" s="175">
        <v>4</v>
      </c>
      <c r="J68" s="175">
        <v>20</v>
      </c>
      <c r="K68" s="175"/>
      <c r="L68" s="175"/>
      <c r="M68" s="174"/>
      <c r="N68" s="174"/>
      <c r="O68" s="174"/>
      <c r="P68" s="174"/>
      <c r="Q68" s="174"/>
      <c r="R68" s="174"/>
      <c r="S68" s="174"/>
      <c r="T68" s="174"/>
      <c r="U68" s="174"/>
      <c r="V68" s="174"/>
      <c r="W68" s="174"/>
      <c r="X68" s="174"/>
      <c r="Y68" s="174"/>
    </row>
    <row r="69" spans="1:25" x14ac:dyDescent="0.25">
      <c r="A69" s="175" t="str">
        <f>hth_assassin&amp;" "&amp;6</f>
        <v>Assassin 6</v>
      </c>
      <c r="B69" s="175">
        <v>6</v>
      </c>
      <c r="C69" s="175"/>
      <c r="D69" s="175">
        <v>2</v>
      </c>
      <c r="E69" s="175">
        <v>3</v>
      </c>
      <c r="F69" s="175">
        <v>3</v>
      </c>
      <c r="G69" s="175">
        <v>3</v>
      </c>
      <c r="H69" s="175">
        <v>3</v>
      </c>
      <c r="I69" s="175">
        <v>4</v>
      </c>
      <c r="J69" s="175">
        <v>20</v>
      </c>
      <c r="K69" s="175"/>
      <c r="L69" s="175"/>
      <c r="M69" s="174"/>
      <c r="N69" s="174"/>
      <c r="O69" s="174"/>
      <c r="P69" s="174"/>
      <c r="Q69" s="174"/>
      <c r="R69" s="174"/>
      <c r="S69" s="174"/>
      <c r="T69" s="174"/>
      <c r="U69" s="174"/>
      <c r="V69" s="174"/>
      <c r="W69" s="174"/>
      <c r="X69" s="174"/>
      <c r="Y69" s="174"/>
    </row>
    <row r="70" spans="1:25" x14ac:dyDescent="0.25">
      <c r="A70" s="175" t="str">
        <f>hth_assassin&amp;" "&amp;7</f>
        <v>Assassin 7</v>
      </c>
      <c r="B70" s="175">
        <v>6</v>
      </c>
      <c r="C70" s="175"/>
      <c r="D70" s="175">
        <v>2</v>
      </c>
      <c r="E70" s="175">
        <v>3</v>
      </c>
      <c r="F70" s="175">
        <v>3</v>
      </c>
      <c r="G70" s="175">
        <v>3</v>
      </c>
      <c r="H70" s="175">
        <v>3</v>
      </c>
      <c r="I70" s="175">
        <v>4</v>
      </c>
      <c r="J70" s="175">
        <v>20</v>
      </c>
      <c r="K70" s="177" t="s">
        <v>182</v>
      </c>
      <c r="L70" s="175"/>
      <c r="M70" s="174"/>
      <c r="N70" s="174"/>
      <c r="O70" s="174"/>
      <c r="P70" s="174"/>
      <c r="Q70" s="174"/>
      <c r="R70" s="174"/>
      <c r="S70" s="174"/>
      <c r="T70" s="174"/>
      <c r="U70" s="174"/>
      <c r="V70" s="174"/>
      <c r="W70" s="174"/>
      <c r="X70" s="174"/>
      <c r="Y70" s="174"/>
    </row>
    <row r="71" spans="1:25" x14ac:dyDescent="0.25">
      <c r="A71" s="175" t="str">
        <f>hth_assassin&amp;" "&amp;8</f>
        <v>Assassin 8</v>
      </c>
      <c r="B71" s="175">
        <v>7</v>
      </c>
      <c r="C71" s="175"/>
      <c r="D71" s="175">
        <v>2</v>
      </c>
      <c r="E71" s="175">
        <v>3</v>
      </c>
      <c r="F71" s="175">
        <v>3</v>
      </c>
      <c r="G71" s="175">
        <v>3</v>
      </c>
      <c r="H71" s="175">
        <v>3</v>
      </c>
      <c r="I71" s="175">
        <v>4</v>
      </c>
      <c r="J71" s="175">
        <v>20</v>
      </c>
      <c r="K71" s="177" t="s">
        <v>182</v>
      </c>
      <c r="L71" s="175"/>
      <c r="M71" s="174"/>
      <c r="N71" s="174"/>
      <c r="O71" s="174"/>
      <c r="P71" s="174"/>
      <c r="Q71" s="174"/>
      <c r="R71" s="174"/>
      <c r="S71" s="174"/>
      <c r="T71" s="174"/>
      <c r="U71" s="174"/>
      <c r="V71" s="174"/>
      <c r="W71" s="174"/>
      <c r="X71" s="174"/>
      <c r="Y71" s="174"/>
    </row>
    <row r="72" spans="1:25" x14ac:dyDescent="0.25">
      <c r="A72" s="175" t="str">
        <f>hth_assassin&amp;" "&amp;9</f>
        <v>Assassin 9</v>
      </c>
      <c r="B72" s="175">
        <v>7</v>
      </c>
      <c r="C72" s="175"/>
      <c r="D72" s="175">
        <v>2</v>
      </c>
      <c r="E72" s="175">
        <v>3</v>
      </c>
      <c r="F72" s="175">
        <v>3</v>
      </c>
      <c r="G72" s="175">
        <v>3</v>
      </c>
      <c r="H72" s="175">
        <v>3</v>
      </c>
      <c r="I72" s="175">
        <v>4</v>
      </c>
      <c r="J72" s="175">
        <v>20</v>
      </c>
      <c r="K72" s="177" t="s">
        <v>182</v>
      </c>
      <c r="L72" s="175"/>
      <c r="M72" s="174"/>
      <c r="N72" s="174"/>
      <c r="O72" s="174"/>
      <c r="P72" s="174"/>
      <c r="Q72" s="174"/>
      <c r="R72" s="174"/>
      <c r="S72" s="174"/>
      <c r="T72" s="174"/>
      <c r="U72" s="174"/>
      <c r="V72" s="174"/>
      <c r="W72" s="174"/>
      <c r="X72" s="174"/>
      <c r="Y72" s="174"/>
    </row>
    <row r="73" spans="1:25" x14ac:dyDescent="0.25">
      <c r="A73" s="175" t="str">
        <f>hth_assassin&amp;" "&amp;10</f>
        <v>Assassin 10</v>
      </c>
      <c r="B73" s="175">
        <v>7</v>
      </c>
      <c r="C73" s="175"/>
      <c r="D73" s="175">
        <v>2</v>
      </c>
      <c r="E73" s="175">
        <v>3</v>
      </c>
      <c r="F73" s="175">
        <v>3</v>
      </c>
      <c r="G73" s="175">
        <v>3</v>
      </c>
      <c r="H73" s="175">
        <v>3</v>
      </c>
      <c r="I73" s="175">
        <v>4</v>
      </c>
      <c r="J73" s="177" t="s">
        <v>183</v>
      </c>
      <c r="K73" s="177" t="s">
        <v>182</v>
      </c>
      <c r="L73" s="175"/>
      <c r="M73" s="174"/>
      <c r="N73" s="174"/>
      <c r="O73" s="174"/>
      <c r="P73" s="174"/>
      <c r="Q73" s="174"/>
      <c r="R73" s="174"/>
      <c r="S73" s="174"/>
      <c r="T73" s="174"/>
      <c r="U73" s="174"/>
      <c r="V73" s="174"/>
      <c r="W73" s="174"/>
      <c r="X73" s="174"/>
      <c r="Y73" s="174"/>
    </row>
    <row r="74" spans="1:25" x14ac:dyDescent="0.25">
      <c r="A74" s="175" t="str">
        <f>hth_assassin&amp;" "&amp;11</f>
        <v>Assassin 11</v>
      </c>
      <c r="B74" s="175">
        <v>7</v>
      </c>
      <c r="C74" s="175"/>
      <c r="D74" s="175">
        <v>4</v>
      </c>
      <c r="E74" s="175">
        <v>3</v>
      </c>
      <c r="F74" s="175">
        <v>3</v>
      </c>
      <c r="G74" s="175">
        <v>3</v>
      </c>
      <c r="H74" s="175">
        <v>3</v>
      </c>
      <c r="I74" s="175">
        <v>4</v>
      </c>
      <c r="J74" s="177" t="s">
        <v>183</v>
      </c>
      <c r="K74" s="177" t="s">
        <v>182</v>
      </c>
      <c r="L74" s="175"/>
      <c r="M74" s="174"/>
      <c r="N74" s="174"/>
      <c r="O74" s="174"/>
      <c r="P74" s="174"/>
      <c r="Q74" s="174"/>
      <c r="R74" s="174"/>
      <c r="S74" s="174"/>
      <c r="T74" s="174"/>
      <c r="U74" s="174"/>
      <c r="V74" s="174"/>
      <c r="W74" s="174"/>
      <c r="X74" s="174"/>
      <c r="Y74" s="174"/>
    </row>
    <row r="75" spans="1:25" x14ac:dyDescent="0.25">
      <c r="A75" s="175" t="str">
        <f>hth_assassin&amp;" "&amp;12</f>
        <v>Assassin 12</v>
      </c>
      <c r="B75" s="175">
        <v>7</v>
      </c>
      <c r="C75" s="175"/>
      <c r="D75" s="175">
        <v>4</v>
      </c>
      <c r="E75" s="175">
        <v>3</v>
      </c>
      <c r="F75" s="175">
        <v>3</v>
      </c>
      <c r="G75" s="175">
        <v>3</v>
      </c>
      <c r="H75" s="175">
        <v>3</v>
      </c>
      <c r="I75" s="175">
        <v>4</v>
      </c>
      <c r="J75" s="177" t="s">
        <v>183</v>
      </c>
      <c r="K75" s="177" t="s">
        <v>182</v>
      </c>
      <c r="L75" s="175">
        <v>20</v>
      </c>
      <c r="M75" s="174"/>
      <c r="N75" s="174"/>
      <c r="O75" s="174"/>
      <c r="P75" s="174"/>
      <c r="Q75" s="174"/>
      <c r="R75" s="174"/>
      <c r="S75" s="174"/>
      <c r="T75" s="174"/>
      <c r="U75" s="174"/>
      <c r="V75" s="174"/>
      <c r="W75" s="174"/>
      <c r="X75" s="174"/>
      <c r="Y75" s="174"/>
    </row>
    <row r="76" spans="1:25" x14ac:dyDescent="0.25">
      <c r="A76" s="175" t="str">
        <f>hth_assassin&amp;" "&amp;13</f>
        <v>Assassin 13</v>
      </c>
      <c r="B76" s="175">
        <v>8</v>
      </c>
      <c r="C76" s="175"/>
      <c r="D76" s="175">
        <v>4</v>
      </c>
      <c r="E76" s="175">
        <v>3</v>
      </c>
      <c r="F76" s="175">
        <v>3</v>
      </c>
      <c r="G76" s="175">
        <v>3</v>
      </c>
      <c r="H76" s="175">
        <v>3</v>
      </c>
      <c r="I76" s="175">
        <v>4</v>
      </c>
      <c r="J76" s="177" t="s">
        <v>183</v>
      </c>
      <c r="K76" s="177" t="s">
        <v>182</v>
      </c>
      <c r="L76" s="175">
        <v>20</v>
      </c>
      <c r="M76" s="174"/>
      <c r="N76" s="174"/>
      <c r="O76" s="174"/>
      <c r="P76" s="174"/>
      <c r="Q76" s="174"/>
      <c r="R76" s="174"/>
      <c r="S76" s="174"/>
      <c r="T76" s="174"/>
      <c r="U76" s="174"/>
      <c r="V76" s="174"/>
      <c r="W76" s="174"/>
      <c r="X76" s="174"/>
      <c r="Y76" s="174"/>
    </row>
    <row r="77" spans="1:25" x14ac:dyDescent="0.25">
      <c r="A77" s="175" t="str">
        <f>hth_assassin&amp;" "&amp;14</f>
        <v>Assassin 14</v>
      </c>
      <c r="B77" s="175">
        <v>8</v>
      </c>
      <c r="C77" s="175"/>
      <c r="D77" s="175">
        <v>4</v>
      </c>
      <c r="E77" s="175">
        <v>3</v>
      </c>
      <c r="F77" s="175">
        <v>3</v>
      </c>
      <c r="G77" s="175">
        <v>3</v>
      </c>
      <c r="H77" s="175">
        <v>3</v>
      </c>
      <c r="I77" s="175">
        <v>6</v>
      </c>
      <c r="J77" s="177" t="s">
        <v>183</v>
      </c>
      <c r="K77" s="177" t="s">
        <v>182</v>
      </c>
      <c r="L77" s="175">
        <v>20</v>
      </c>
      <c r="M77" s="174"/>
      <c r="N77" s="174"/>
      <c r="O77" s="174"/>
      <c r="P77" s="174"/>
      <c r="Q77" s="174"/>
      <c r="R77" s="174"/>
      <c r="S77" s="174"/>
      <c r="T77" s="174"/>
      <c r="U77" s="174"/>
      <c r="V77" s="174"/>
      <c r="W77" s="174"/>
      <c r="X77" s="174"/>
      <c r="Y77" s="174"/>
    </row>
    <row r="78" spans="1:25" x14ac:dyDescent="0.25">
      <c r="A78" s="175" t="str">
        <f>hth_assassin&amp;" "&amp;15</f>
        <v>Assassin 15</v>
      </c>
      <c r="B78" s="175">
        <v>8</v>
      </c>
      <c r="C78" s="175"/>
      <c r="D78" s="175">
        <v>6</v>
      </c>
      <c r="E78" s="175">
        <v>3</v>
      </c>
      <c r="F78" s="175">
        <v>3</v>
      </c>
      <c r="G78" s="175">
        <v>3</v>
      </c>
      <c r="H78" s="175">
        <v>3</v>
      </c>
      <c r="I78" s="175">
        <v>6</v>
      </c>
      <c r="J78" s="177" t="s">
        <v>183</v>
      </c>
      <c r="K78" s="177" t="s">
        <v>182</v>
      </c>
      <c r="L78" s="175">
        <v>20</v>
      </c>
      <c r="M78" s="174"/>
      <c r="N78" s="174"/>
      <c r="O78" s="174"/>
      <c r="P78" s="174"/>
      <c r="Q78" s="174"/>
      <c r="R78" s="174"/>
      <c r="S78" s="174"/>
      <c r="T78" s="174"/>
      <c r="U78" s="174"/>
      <c r="V78" s="174"/>
      <c r="W78" s="174"/>
      <c r="X78" s="174"/>
      <c r="Y78" s="174"/>
    </row>
    <row r="79" spans="1:25" x14ac:dyDescent="0.25">
      <c r="A79" s="174"/>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4"/>
    </row>
    <row r="80" spans="1:25" x14ac:dyDescent="0.25">
      <c r="A80" s="174" t="s">
        <v>190</v>
      </c>
      <c r="B80" s="174" t="s">
        <v>200</v>
      </c>
      <c r="C80" s="174" t="s">
        <v>191</v>
      </c>
      <c r="D80" s="174" t="s">
        <v>192</v>
      </c>
      <c r="E80" s="174" t="s">
        <v>193</v>
      </c>
      <c r="F80" s="174" t="s">
        <v>194</v>
      </c>
      <c r="G80" s="174" t="s">
        <v>195</v>
      </c>
      <c r="H80" s="174" t="s">
        <v>196</v>
      </c>
      <c r="I80" s="174" t="s">
        <v>197</v>
      </c>
      <c r="J80" s="180" t="s">
        <v>198</v>
      </c>
      <c r="K80" s="181" t="s">
        <v>199</v>
      </c>
      <c r="L80" s="174" t="s">
        <v>201</v>
      </c>
      <c r="M80" s="174" t="s">
        <v>202</v>
      </c>
      <c r="N80" s="174" t="s">
        <v>203</v>
      </c>
      <c r="O80" s="174" t="s">
        <v>204</v>
      </c>
      <c r="P80" s="174" t="s">
        <v>205</v>
      </c>
      <c r="Q80" s="174" t="s">
        <v>206</v>
      </c>
      <c r="R80" s="174" t="s">
        <v>207</v>
      </c>
      <c r="S80" s="174"/>
      <c r="T80" s="174"/>
      <c r="U80" s="174"/>
      <c r="V80" s="174"/>
      <c r="W80" s="174"/>
      <c r="X80" s="174"/>
      <c r="Y80" s="174"/>
    </row>
    <row r="81" spans="1:28" x14ac:dyDescent="0.25">
      <c r="A81" s="174"/>
      <c r="B81" s="174"/>
      <c r="C81" s="174"/>
      <c r="D81" s="174"/>
      <c r="E81" s="174"/>
      <c r="F81" s="174"/>
      <c r="G81" s="174"/>
      <c r="H81" s="174"/>
      <c r="I81" s="174"/>
      <c r="J81" s="181"/>
      <c r="K81" s="181"/>
      <c r="L81" s="174"/>
      <c r="M81" s="174"/>
      <c r="N81" s="174"/>
      <c r="O81" s="174"/>
      <c r="P81" s="174"/>
      <c r="Q81" s="174"/>
      <c r="R81" s="174"/>
      <c r="S81" s="174"/>
      <c r="T81" s="174"/>
      <c r="U81" s="174"/>
      <c r="V81" s="174"/>
      <c r="W81" s="174"/>
      <c r="X81" s="174"/>
      <c r="Y81" s="174"/>
      <c r="AA81" s="1"/>
      <c r="AB81" s="1"/>
    </row>
    <row r="82" spans="1:28" s="1" customFormat="1" x14ac:dyDescent="0.25">
      <c r="A82" s="139" t="s">
        <v>208</v>
      </c>
      <c r="B82" s="139" t="s">
        <v>49</v>
      </c>
      <c r="C82" s="139" t="s">
        <v>50</v>
      </c>
      <c r="D82" s="139" t="s">
        <v>209</v>
      </c>
      <c r="E82" s="139" t="s">
        <v>210</v>
      </c>
      <c r="F82" s="139" t="s">
        <v>112</v>
      </c>
      <c r="G82" s="139" t="s">
        <v>212</v>
      </c>
      <c r="H82" s="139" t="s">
        <v>213</v>
      </c>
      <c r="I82" s="174"/>
      <c r="J82" s="181"/>
      <c r="K82" s="181"/>
      <c r="L82" s="174"/>
      <c r="M82" s="174"/>
      <c r="N82" s="174"/>
      <c r="O82" s="174"/>
      <c r="P82" s="174"/>
      <c r="Q82" s="174"/>
      <c r="R82" s="174"/>
      <c r="S82" s="174"/>
      <c r="T82" s="174"/>
      <c r="U82" s="174"/>
      <c r="V82" s="174"/>
      <c r="W82" s="174"/>
      <c r="X82" s="174"/>
      <c r="Y82" s="174"/>
      <c r="AA82"/>
      <c r="AB82"/>
    </row>
    <row r="83" spans="1:28" x14ac:dyDescent="0.25">
      <c r="A83" s="175" t="str">
        <f>wp_archery&amp;" "&amp;1</f>
        <v>Archery 1</v>
      </c>
      <c r="B83" s="175"/>
      <c r="C83" s="175">
        <v>1</v>
      </c>
      <c r="D83" s="175"/>
      <c r="E83" s="175"/>
      <c r="F83" s="175"/>
      <c r="G83" s="175">
        <v>20</v>
      </c>
      <c r="H83" s="175">
        <v>2</v>
      </c>
      <c r="I83" s="174"/>
      <c r="J83" s="174"/>
      <c r="K83" s="174"/>
      <c r="L83" s="174"/>
      <c r="M83" s="174"/>
      <c r="N83" s="174"/>
      <c r="O83" s="174"/>
      <c r="P83" s="174"/>
      <c r="Q83" s="174"/>
      <c r="R83" s="174"/>
      <c r="S83" s="174"/>
      <c r="T83" s="174"/>
      <c r="U83" s="174"/>
      <c r="V83" s="174"/>
      <c r="W83" s="174"/>
      <c r="X83" s="174"/>
      <c r="Y83" s="174"/>
    </row>
    <row r="84" spans="1:28" x14ac:dyDescent="0.25">
      <c r="A84" s="175" t="str">
        <f>wp_archery&amp;" "&amp;2</f>
        <v>Archery 2</v>
      </c>
      <c r="B84" s="175">
        <v>1</v>
      </c>
      <c r="C84" s="175">
        <v>1</v>
      </c>
      <c r="D84" s="175"/>
      <c r="E84" s="175"/>
      <c r="F84" s="175"/>
      <c r="G84" s="175">
        <v>40</v>
      </c>
      <c r="H84" s="175">
        <v>3</v>
      </c>
      <c r="I84" s="174"/>
      <c r="J84" s="174"/>
      <c r="K84" s="174"/>
      <c r="L84" s="174"/>
      <c r="M84" s="174"/>
      <c r="N84" s="174"/>
      <c r="O84" s="174"/>
      <c r="P84" s="174"/>
      <c r="Q84" s="174"/>
      <c r="R84" s="174"/>
      <c r="S84" s="174"/>
      <c r="T84" s="174"/>
      <c r="U84" s="174"/>
      <c r="V84" s="174"/>
      <c r="W84" s="174"/>
      <c r="X84" s="174"/>
      <c r="Y84" s="174"/>
    </row>
    <row r="85" spans="1:28" x14ac:dyDescent="0.25">
      <c r="A85" s="175" t="str">
        <f>wp_archery&amp;" "&amp;3</f>
        <v>Archery 3</v>
      </c>
      <c r="B85" s="175">
        <v>1</v>
      </c>
      <c r="C85" s="175">
        <v>1</v>
      </c>
      <c r="D85" s="175"/>
      <c r="E85" s="175"/>
      <c r="F85" s="175"/>
      <c r="G85" s="175">
        <v>60</v>
      </c>
      <c r="H85" s="175">
        <v>4</v>
      </c>
      <c r="I85" s="174"/>
      <c r="J85" s="174"/>
      <c r="K85" s="174"/>
      <c r="L85" s="174"/>
      <c r="M85" s="174"/>
      <c r="N85" s="174"/>
      <c r="O85" s="174"/>
      <c r="P85" s="174"/>
      <c r="Q85" s="174"/>
      <c r="R85" s="174"/>
      <c r="S85" s="174"/>
      <c r="T85" s="174"/>
      <c r="U85" s="174"/>
      <c r="V85" s="174"/>
      <c r="W85" s="174"/>
      <c r="X85" s="174"/>
      <c r="Y85" s="174"/>
    </row>
    <row r="86" spans="1:28" x14ac:dyDescent="0.25">
      <c r="A86" s="175" t="str">
        <f>wp_archery&amp;" "&amp;4</f>
        <v>Archery 4</v>
      </c>
      <c r="B86" s="175">
        <v>2</v>
      </c>
      <c r="C86" s="175">
        <v>1</v>
      </c>
      <c r="D86" s="175"/>
      <c r="E86" s="175"/>
      <c r="F86" s="175"/>
      <c r="G86" s="175">
        <v>80</v>
      </c>
      <c r="H86" s="175">
        <v>4</v>
      </c>
      <c r="I86" s="174"/>
      <c r="J86" s="174"/>
      <c r="K86" s="174"/>
      <c r="L86" s="174"/>
      <c r="M86" s="174"/>
      <c r="N86" s="174"/>
      <c r="O86" s="174"/>
      <c r="P86" s="174"/>
      <c r="Q86" s="174"/>
      <c r="R86" s="174"/>
      <c r="S86" s="174"/>
      <c r="T86" s="174"/>
      <c r="U86" s="174"/>
      <c r="V86" s="174"/>
      <c r="W86" s="174"/>
      <c r="X86" s="174"/>
      <c r="Y86" s="174"/>
    </row>
    <row r="87" spans="1:28" x14ac:dyDescent="0.25">
      <c r="A87" s="175" t="str">
        <f>wp_archery&amp;" "&amp;5</f>
        <v>Archery 5</v>
      </c>
      <c r="B87" s="175">
        <v>2</v>
      </c>
      <c r="C87" s="175">
        <v>1</v>
      </c>
      <c r="D87" s="175"/>
      <c r="E87" s="175"/>
      <c r="F87" s="175"/>
      <c r="G87" s="175">
        <v>100</v>
      </c>
      <c r="H87" s="175">
        <v>5</v>
      </c>
      <c r="I87" s="174"/>
      <c r="J87" s="174"/>
      <c r="K87" s="174"/>
      <c r="L87" s="174"/>
      <c r="M87" s="174"/>
      <c r="N87" s="174"/>
      <c r="O87" s="174"/>
      <c r="P87" s="174"/>
      <c r="Q87" s="174"/>
      <c r="R87" s="174"/>
      <c r="S87" s="174"/>
      <c r="T87" s="174"/>
      <c r="U87" s="174"/>
      <c r="V87" s="174"/>
      <c r="W87" s="174"/>
      <c r="X87" s="174"/>
      <c r="Y87" s="174"/>
    </row>
    <row r="88" spans="1:28" x14ac:dyDescent="0.25">
      <c r="A88" s="175" t="str">
        <f>wp_archery&amp;" "&amp;6</f>
        <v>Archery 6</v>
      </c>
      <c r="B88" s="175">
        <v>3</v>
      </c>
      <c r="C88" s="175">
        <v>1</v>
      </c>
      <c r="D88" s="175"/>
      <c r="E88" s="175"/>
      <c r="F88" s="175"/>
      <c r="G88" s="175">
        <v>120</v>
      </c>
      <c r="H88" s="175">
        <v>5</v>
      </c>
      <c r="I88" s="174"/>
      <c r="J88" s="174"/>
      <c r="K88" s="174"/>
      <c r="L88" s="174"/>
      <c r="M88" s="174"/>
      <c r="N88" s="174"/>
      <c r="O88" s="174"/>
      <c r="P88" s="174"/>
      <c r="Q88" s="174"/>
      <c r="R88" s="174"/>
      <c r="S88" s="174"/>
      <c r="T88" s="174"/>
      <c r="U88" s="174"/>
      <c r="V88" s="174"/>
      <c r="W88" s="174"/>
      <c r="X88" s="174"/>
      <c r="Y88" s="174"/>
    </row>
    <row r="89" spans="1:28" x14ac:dyDescent="0.25">
      <c r="A89" s="175" t="str">
        <f>wp_archery&amp;" "&amp;7</f>
        <v>Archery 7</v>
      </c>
      <c r="B89" s="175">
        <v>3</v>
      </c>
      <c r="C89" s="175">
        <v>1</v>
      </c>
      <c r="D89" s="175"/>
      <c r="E89" s="175"/>
      <c r="F89" s="175"/>
      <c r="G89" s="175">
        <v>140</v>
      </c>
      <c r="H89" s="175">
        <v>6</v>
      </c>
      <c r="I89" s="174"/>
      <c r="J89" s="174"/>
      <c r="K89" s="174"/>
      <c r="L89" s="174"/>
      <c r="M89" s="174"/>
      <c r="N89" s="174"/>
      <c r="O89" s="174"/>
      <c r="P89" s="174"/>
      <c r="Q89" s="174"/>
      <c r="R89" s="174"/>
      <c r="S89" s="174"/>
      <c r="T89" s="174"/>
      <c r="U89" s="174"/>
      <c r="V89" s="174"/>
      <c r="W89" s="174"/>
      <c r="X89" s="174"/>
      <c r="Y89" s="174"/>
    </row>
    <row r="90" spans="1:28" x14ac:dyDescent="0.25">
      <c r="A90" s="175" t="str">
        <f>wp_archery&amp;" "&amp;8</f>
        <v>Archery 8</v>
      </c>
      <c r="B90" s="175">
        <v>4</v>
      </c>
      <c r="C90" s="175">
        <v>1</v>
      </c>
      <c r="D90" s="175"/>
      <c r="E90" s="175"/>
      <c r="F90" s="175"/>
      <c r="G90" s="175">
        <v>160</v>
      </c>
      <c r="H90" s="175">
        <v>6</v>
      </c>
      <c r="I90" s="174"/>
      <c r="J90" s="174"/>
      <c r="K90" s="174"/>
      <c r="L90" s="174"/>
      <c r="M90" s="174"/>
      <c r="N90" s="174"/>
      <c r="O90" s="174"/>
      <c r="P90" s="174"/>
      <c r="Q90" s="174"/>
      <c r="R90" s="174"/>
      <c r="S90" s="174"/>
      <c r="T90" s="174"/>
      <c r="U90" s="174"/>
      <c r="V90" s="174"/>
      <c r="W90" s="174"/>
      <c r="X90" s="174"/>
      <c r="Y90" s="174"/>
    </row>
    <row r="91" spans="1:28" x14ac:dyDescent="0.25">
      <c r="A91" s="175" t="str">
        <f>wp_archery&amp;" "&amp;9</f>
        <v>Archery 9</v>
      </c>
      <c r="B91" s="175">
        <v>4</v>
      </c>
      <c r="C91" s="175">
        <v>1</v>
      </c>
      <c r="D91" s="175"/>
      <c r="E91" s="175"/>
      <c r="F91" s="175"/>
      <c r="G91" s="175">
        <v>180</v>
      </c>
      <c r="H91" s="175">
        <v>7</v>
      </c>
      <c r="I91" s="174"/>
      <c r="J91" s="174"/>
      <c r="K91" s="174"/>
      <c r="L91" s="174"/>
      <c r="M91" s="174"/>
      <c r="N91" s="174"/>
      <c r="O91" s="174"/>
      <c r="P91" s="174"/>
      <c r="Q91" s="174"/>
      <c r="R91" s="174"/>
      <c r="S91" s="174"/>
      <c r="T91" s="174"/>
      <c r="U91" s="174"/>
      <c r="V91" s="174"/>
      <c r="W91" s="174"/>
      <c r="X91" s="174"/>
      <c r="Y91" s="174"/>
    </row>
    <row r="92" spans="1:28" x14ac:dyDescent="0.25">
      <c r="A92" s="175" t="str">
        <f>wp_archery&amp;" "&amp;10</f>
        <v>Archery 10</v>
      </c>
      <c r="B92" s="175">
        <v>4</v>
      </c>
      <c r="C92" s="175">
        <v>1</v>
      </c>
      <c r="D92" s="175"/>
      <c r="E92" s="175"/>
      <c r="F92" s="175"/>
      <c r="G92" s="175">
        <v>200</v>
      </c>
      <c r="H92" s="175">
        <v>7</v>
      </c>
      <c r="I92" s="174"/>
      <c r="J92" s="174"/>
      <c r="K92" s="174"/>
      <c r="L92" s="174"/>
      <c r="M92" s="174"/>
      <c r="N92" s="174"/>
      <c r="O92" s="174"/>
      <c r="P92" s="174"/>
      <c r="Q92" s="174"/>
      <c r="R92" s="174"/>
      <c r="S92" s="174"/>
      <c r="T92" s="174"/>
      <c r="U92" s="174"/>
      <c r="V92" s="174"/>
      <c r="W92" s="174"/>
      <c r="X92" s="174"/>
      <c r="Y92" s="174"/>
    </row>
    <row r="93" spans="1:28" x14ac:dyDescent="0.25">
      <c r="A93" s="175" t="str">
        <f>wp_archery&amp;" "&amp;11</f>
        <v>Archery 11</v>
      </c>
      <c r="B93" s="175">
        <v>5</v>
      </c>
      <c r="C93" s="175">
        <v>1</v>
      </c>
      <c r="D93" s="175"/>
      <c r="E93" s="175"/>
      <c r="F93" s="175"/>
      <c r="G93" s="175">
        <v>220</v>
      </c>
      <c r="H93" s="175">
        <v>7</v>
      </c>
      <c r="I93" s="174"/>
      <c r="J93" s="174"/>
      <c r="K93" s="174"/>
      <c r="L93" s="174"/>
      <c r="M93" s="174"/>
      <c r="N93" s="174"/>
      <c r="O93" s="174"/>
      <c r="P93" s="174"/>
      <c r="Q93" s="174"/>
      <c r="R93" s="174"/>
      <c r="S93" s="174"/>
      <c r="T93" s="174"/>
      <c r="U93" s="174"/>
      <c r="V93" s="174"/>
      <c r="W93" s="174"/>
      <c r="X93" s="174"/>
      <c r="Y93" s="174"/>
    </row>
    <row r="94" spans="1:28" x14ac:dyDescent="0.25">
      <c r="A94" s="175" t="str">
        <f>wp_archery&amp;" "&amp;12</f>
        <v>Archery 12</v>
      </c>
      <c r="B94" s="175">
        <v>5</v>
      </c>
      <c r="C94" s="175">
        <v>1</v>
      </c>
      <c r="D94" s="175"/>
      <c r="E94" s="175"/>
      <c r="F94" s="175"/>
      <c r="G94" s="175">
        <v>240</v>
      </c>
      <c r="H94" s="175">
        <v>8</v>
      </c>
      <c r="I94" s="174"/>
      <c r="J94" s="174"/>
      <c r="K94" s="174"/>
      <c r="L94" s="174"/>
      <c r="M94" s="174"/>
      <c r="N94" s="174"/>
      <c r="O94" s="174"/>
      <c r="P94" s="174"/>
      <c r="Q94" s="174"/>
      <c r="R94" s="174"/>
      <c r="S94" s="174"/>
      <c r="T94" s="174"/>
      <c r="U94" s="174"/>
      <c r="V94" s="174"/>
      <c r="W94" s="174"/>
      <c r="X94" s="174"/>
      <c r="Y94" s="174"/>
    </row>
    <row r="95" spans="1:28" x14ac:dyDescent="0.25">
      <c r="A95" s="175" t="str">
        <f>wp_archery&amp;" "&amp;13</f>
        <v>Archery 13</v>
      </c>
      <c r="B95" s="175">
        <v>5</v>
      </c>
      <c r="C95" s="175">
        <v>1</v>
      </c>
      <c r="D95" s="175"/>
      <c r="E95" s="175"/>
      <c r="F95" s="175"/>
      <c r="G95" s="175">
        <v>260</v>
      </c>
      <c r="H95" s="175">
        <v>8</v>
      </c>
      <c r="I95" s="174"/>
      <c r="J95" s="174"/>
      <c r="K95" s="174"/>
      <c r="L95" s="174"/>
      <c r="M95" s="174"/>
      <c r="N95" s="174"/>
      <c r="O95" s="174"/>
      <c r="P95" s="174"/>
      <c r="Q95" s="174"/>
      <c r="R95" s="174"/>
      <c r="S95" s="174"/>
      <c r="T95" s="174"/>
      <c r="U95" s="174"/>
      <c r="V95" s="174"/>
      <c r="W95" s="174"/>
      <c r="X95" s="174"/>
      <c r="Y95" s="174"/>
    </row>
    <row r="96" spans="1:28" x14ac:dyDescent="0.25">
      <c r="A96" s="175" t="str">
        <f>wp_archery&amp;" "&amp;14</f>
        <v>Archery 14</v>
      </c>
      <c r="B96" s="175">
        <v>6</v>
      </c>
      <c r="C96" s="175">
        <v>1</v>
      </c>
      <c r="D96" s="175"/>
      <c r="E96" s="175"/>
      <c r="F96" s="175"/>
      <c r="G96" s="175">
        <v>280</v>
      </c>
      <c r="H96" s="175">
        <v>8</v>
      </c>
      <c r="I96" s="174"/>
      <c r="J96" s="174"/>
      <c r="K96" s="174"/>
      <c r="L96" s="174"/>
      <c r="M96" s="174"/>
      <c r="N96" s="174"/>
      <c r="O96" s="174"/>
      <c r="P96" s="174"/>
      <c r="Q96" s="174"/>
      <c r="R96" s="174"/>
      <c r="S96" s="174"/>
      <c r="T96" s="174"/>
      <c r="U96" s="174"/>
      <c r="V96" s="174"/>
      <c r="W96" s="174"/>
      <c r="X96" s="174"/>
      <c r="Y96" s="174"/>
    </row>
    <row r="97" spans="1:25" x14ac:dyDescent="0.25">
      <c r="A97" s="175" t="str">
        <f>wp_archery&amp;" "&amp;15</f>
        <v>Archery 15</v>
      </c>
      <c r="B97" s="175">
        <v>6</v>
      </c>
      <c r="C97" s="175">
        <v>1</v>
      </c>
      <c r="D97" s="175"/>
      <c r="E97" s="175"/>
      <c r="F97" s="175"/>
      <c r="G97" s="175">
        <v>300</v>
      </c>
      <c r="H97" s="175">
        <v>8</v>
      </c>
      <c r="I97" s="174"/>
      <c r="J97" s="174"/>
      <c r="K97" s="174"/>
      <c r="L97" s="174"/>
      <c r="M97" s="174"/>
      <c r="N97" s="174"/>
      <c r="O97" s="174"/>
      <c r="P97" s="174"/>
      <c r="Q97" s="174"/>
      <c r="R97" s="174"/>
      <c r="S97" s="174"/>
      <c r="T97" s="174"/>
      <c r="U97" s="174"/>
      <c r="V97" s="174"/>
      <c r="W97" s="174"/>
      <c r="X97" s="174"/>
      <c r="Y97" s="174"/>
    </row>
    <row r="98" spans="1:25" x14ac:dyDescent="0.25">
      <c r="A98" s="175" t="str">
        <f>wp_axe&amp;" "&amp;1</f>
        <v>Battle Axe 1</v>
      </c>
      <c r="B98" s="175">
        <v>1</v>
      </c>
      <c r="C98" s="175"/>
      <c r="D98" s="175"/>
      <c r="E98" s="175"/>
      <c r="F98" s="175"/>
      <c r="G98" s="175"/>
      <c r="H98" s="175"/>
      <c r="I98" s="174"/>
      <c r="J98" s="174"/>
      <c r="K98" s="174"/>
      <c r="L98" s="174"/>
      <c r="M98" s="174"/>
      <c r="N98" s="174"/>
      <c r="O98" s="174"/>
      <c r="P98" s="174"/>
      <c r="Q98" s="174"/>
      <c r="R98" s="174"/>
      <c r="S98" s="174"/>
      <c r="T98" s="174"/>
      <c r="U98" s="174"/>
      <c r="V98" s="174"/>
      <c r="W98" s="174"/>
      <c r="X98" s="174"/>
      <c r="Y98" s="174"/>
    </row>
    <row r="99" spans="1:25" x14ac:dyDescent="0.25">
      <c r="A99" s="175" t="str">
        <f>wp_axe&amp;" "&amp;2</f>
        <v>Battle Axe 2</v>
      </c>
      <c r="B99" s="175">
        <v>1</v>
      </c>
      <c r="C99" s="175">
        <v>1</v>
      </c>
      <c r="D99" s="175">
        <v>1</v>
      </c>
      <c r="E99" s="175"/>
      <c r="F99" s="175"/>
      <c r="G99" s="175"/>
      <c r="H99" s="175"/>
      <c r="I99" s="174"/>
      <c r="J99" s="174"/>
      <c r="K99" s="174"/>
      <c r="L99" s="174"/>
      <c r="M99" s="174"/>
      <c r="N99" s="174"/>
      <c r="O99" s="174"/>
      <c r="P99" s="174"/>
      <c r="Q99" s="174"/>
      <c r="R99" s="174"/>
      <c r="S99" s="174"/>
      <c r="T99" s="174"/>
      <c r="U99" s="174"/>
      <c r="V99" s="174"/>
      <c r="W99" s="174"/>
      <c r="X99" s="174"/>
      <c r="Y99" s="174"/>
    </row>
    <row r="100" spans="1:25" x14ac:dyDescent="0.25">
      <c r="A100" s="175" t="str">
        <f>wp_axe&amp;" "&amp;3</f>
        <v>Battle Axe 3</v>
      </c>
      <c r="B100" s="175">
        <v>2</v>
      </c>
      <c r="C100" s="175">
        <v>1</v>
      </c>
      <c r="D100" s="175">
        <v>1</v>
      </c>
      <c r="E100" s="175"/>
      <c r="F100" s="175"/>
      <c r="G100" s="175"/>
      <c r="H100" s="175"/>
      <c r="I100" s="174"/>
      <c r="J100" s="174"/>
      <c r="K100" s="174"/>
      <c r="L100" s="174"/>
      <c r="M100" s="174"/>
      <c r="N100" s="174"/>
      <c r="O100" s="174"/>
      <c r="P100" s="174"/>
      <c r="Q100" s="174"/>
      <c r="R100" s="174"/>
      <c r="S100" s="174"/>
      <c r="T100" s="174"/>
      <c r="U100" s="174"/>
      <c r="V100" s="174"/>
      <c r="W100" s="174"/>
      <c r="X100" s="174"/>
      <c r="Y100" s="174"/>
    </row>
    <row r="101" spans="1:25" x14ac:dyDescent="0.25">
      <c r="A101" s="175" t="str">
        <f>wp_axe&amp;" "&amp;4</f>
        <v>Battle Axe 4</v>
      </c>
      <c r="B101" s="175">
        <v>2</v>
      </c>
      <c r="C101" s="175">
        <v>2</v>
      </c>
      <c r="D101" s="175">
        <v>2</v>
      </c>
      <c r="E101" s="175"/>
      <c r="F101" s="175"/>
      <c r="G101" s="175"/>
      <c r="H101" s="175"/>
      <c r="I101" s="174"/>
      <c r="J101" s="174"/>
      <c r="K101" s="174"/>
      <c r="L101" s="174"/>
      <c r="M101" s="174"/>
      <c r="N101" s="174"/>
      <c r="O101" s="174"/>
      <c r="P101" s="174"/>
      <c r="Q101" s="174"/>
      <c r="R101" s="174"/>
      <c r="S101" s="174"/>
      <c r="T101" s="174"/>
      <c r="U101" s="174"/>
      <c r="V101" s="174"/>
      <c r="W101" s="174"/>
      <c r="X101" s="174"/>
      <c r="Y101" s="174"/>
    </row>
    <row r="102" spans="1:25" x14ac:dyDescent="0.25">
      <c r="A102" s="175" t="str">
        <f>wp_axe&amp;" "&amp;5</f>
        <v>Battle Axe 5</v>
      </c>
      <c r="B102" s="175">
        <v>2</v>
      </c>
      <c r="C102" s="175">
        <v>2</v>
      </c>
      <c r="D102" s="175">
        <v>2</v>
      </c>
      <c r="E102" s="175"/>
      <c r="F102" s="175"/>
      <c r="G102" s="175"/>
      <c r="H102" s="175"/>
      <c r="I102" s="174"/>
      <c r="J102" s="174"/>
      <c r="K102" s="174"/>
      <c r="L102" s="174"/>
      <c r="M102" s="174"/>
      <c r="N102" s="174"/>
      <c r="O102" s="174"/>
      <c r="P102" s="174"/>
      <c r="Q102" s="174"/>
      <c r="R102" s="174"/>
      <c r="S102" s="174"/>
      <c r="T102" s="174"/>
      <c r="U102" s="174"/>
      <c r="V102" s="174"/>
      <c r="W102" s="174"/>
      <c r="X102" s="174"/>
      <c r="Y102" s="174"/>
    </row>
    <row r="103" spans="1:25" x14ac:dyDescent="0.25">
      <c r="A103" s="175" t="str">
        <f>wp_axe&amp;" "&amp;6</f>
        <v>Battle Axe 6</v>
      </c>
      <c r="B103" s="175">
        <v>3</v>
      </c>
      <c r="C103" s="175">
        <v>2</v>
      </c>
      <c r="D103" s="175">
        <v>2</v>
      </c>
      <c r="E103" s="175"/>
      <c r="F103" s="175"/>
      <c r="G103" s="175"/>
      <c r="H103" s="175"/>
      <c r="I103" s="174"/>
      <c r="J103" s="174"/>
      <c r="K103" s="174"/>
      <c r="L103" s="174"/>
      <c r="M103" s="174"/>
      <c r="N103" s="174"/>
      <c r="O103" s="174"/>
      <c r="P103" s="174"/>
      <c r="Q103" s="174"/>
      <c r="R103" s="174"/>
      <c r="S103" s="174"/>
      <c r="T103" s="174"/>
      <c r="U103" s="174"/>
      <c r="V103" s="174"/>
      <c r="W103" s="174"/>
      <c r="X103" s="174"/>
      <c r="Y103" s="174"/>
    </row>
    <row r="104" spans="1:25" x14ac:dyDescent="0.25">
      <c r="A104" s="175" t="str">
        <f>wp_axe&amp;" "&amp;7</f>
        <v>Battle Axe 7</v>
      </c>
      <c r="B104" s="175">
        <v>3</v>
      </c>
      <c r="C104" s="175">
        <v>2</v>
      </c>
      <c r="D104" s="175">
        <v>2</v>
      </c>
      <c r="E104" s="175"/>
      <c r="F104" s="175"/>
      <c r="G104" s="175"/>
      <c r="H104" s="175"/>
      <c r="I104" s="174"/>
      <c r="J104" s="174"/>
      <c r="K104" s="174"/>
      <c r="L104" s="174"/>
      <c r="M104" s="174"/>
      <c r="N104" s="174"/>
      <c r="O104" s="174"/>
      <c r="P104" s="174"/>
      <c r="Q104" s="174"/>
      <c r="R104" s="174"/>
      <c r="S104" s="174"/>
      <c r="T104" s="174"/>
      <c r="U104" s="174"/>
      <c r="V104" s="174"/>
      <c r="W104" s="174"/>
      <c r="X104" s="174"/>
      <c r="Y104" s="174"/>
    </row>
    <row r="105" spans="1:25" x14ac:dyDescent="0.25">
      <c r="A105" s="175" t="str">
        <f>wp_axe&amp;" "&amp;8</f>
        <v>Battle Axe 8</v>
      </c>
      <c r="B105" s="175">
        <v>3</v>
      </c>
      <c r="C105" s="175">
        <v>3</v>
      </c>
      <c r="D105" s="175">
        <v>3</v>
      </c>
      <c r="E105" s="175"/>
      <c r="F105" s="175"/>
      <c r="G105" s="175"/>
      <c r="H105" s="175"/>
      <c r="I105" s="174"/>
      <c r="J105" s="174"/>
      <c r="K105" s="174"/>
      <c r="L105" s="174"/>
      <c r="M105" s="174"/>
      <c r="N105" s="174"/>
      <c r="O105" s="174"/>
      <c r="P105" s="174"/>
      <c r="Q105" s="174"/>
      <c r="R105" s="174"/>
      <c r="S105" s="174"/>
      <c r="T105" s="174"/>
      <c r="U105" s="174"/>
      <c r="V105" s="174"/>
      <c r="W105" s="174"/>
      <c r="X105" s="174"/>
      <c r="Y105" s="174"/>
    </row>
    <row r="106" spans="1:25" x14ac:dyDescent="0.25">
      <c r="A106" s="175" t="str">
        <f>wp_axe&amp;" "&amp;9</f>
        <v>Battle Axe 9</v>
      </c>
      <c r="B106" s="175">
        <v>4</v>
      </c>
      <c r="C106" s="175">
        <v>3</v>
      </c>
      <c r="D106" s="175">
        <v>3</v>
      </c>
      <c r="E106" s="175"/>
      <c r="F106" s="175"/>
      <c r="G106" s="175"/>
      <c r="H106" s="175"/>
      <c r="I106" s="174"/>
      <c r="J106" s="174"/>
      <c r="K106" s="174"/>
      <c r="L106" s="174"/>
      <c r="M106" s="174"/>
      <c r="N106" s="174"/>
      <c r="O106" s="174"/>
      <c r="P106" s="174"/>
      <c r="Q106" s="174"/>
      <c r="R106" s="174"/>
      <c r="S106" s="174"/>
      <c r="T106" s="174"/>
      <c r="U106" s="174"/>
      <c r="V106" s="174"/>
      <c r="W106" s="174"/>
      <c r="X106" s="174"/>
      <c r="Y106" s="174"/>
    </row>
    <row r="107" spans="1:25" x14ac:dyDescent="0.25">
      <c r="A107" s="175" t="str">
        <f>wp_axe&amp;" "&amp;10</f>
        <v>Battle Axe 10</v>
      </c>
      <c r="B107" s="175">
        <v>4</v>
      </c>
      <c r="C107" s="175">
        <v>3</v>
      </c>
      <c r="D107" s="175">
        <v>3</v>
      </c>
      <c r="E107" s="175"/>
      <c r="F107" s="175"/>
      <c r="G107" s="175"/>
      <c r="H107" s="175"/>
      <c r="I107" s="174"/>
      <c r="J107" s="174"/>
      <c r="K107" s="174"/>
      <c r="L107" s="174"/>
      <c r="M107" s="174"/>
      <c r="N107" s="174"/>
      <c r="O107" s="174"/>
      <c r="P107" s="174"/>
      <c r="Q107" s="174"/>
      <c r="R107" s="174"/>
      <c r="S107" s="174"/>
      <c r="T107" s="174"/>
      <c r="U107" s="174"/>
      <c r="V107" s="174"/>
      <c r="W107" s="174"/>
      <c r="X107" s="174"/>
      <c r="Y107" s="174"/>
    </row>
    <row r="108" spans="1:25" x14ac:dyDescent="0.25">
      <c r="A108" s="175" t="str">
        <f>wp_axe&amp;" "&amp;11</f>
        <v>Battle Axe 11</v>
      </c>
      <c r="B108" s="175">
        <v>4</v>
      </c>
      <c r="C108" s="175">
        <v>3</v>
      </c>
      <c r="D108" s="175">
        <v>3</v>
      </c>
      <c r="E108" s="175"/>
      <c r="F108" s="175"/>
      <c r="G108" s="175"/>
      <c r="H108" s="175"/>
      <c r="I108" s="174"/>
      <c r="J108" s="174"/>
      <c r="K108" s="174"/>
      <c r="L108" s="174"/>
      <c r="M108" s="174"/>
      <c r="N108" s="174"/>
      <c r="O108" s="174"/>
      <c r="P108" s="174"/>
      <c r="Q108" s="174"/>
      <c r="R108" s="174"/>
      <c r="S108" s="174"/>
      <c r="T108" s="174"/>
      <c r="U108" s="174"/>
      <c r="V108" s="174"/>
      <c r="W108" s="174"/>
      <c r="X108" s="174"/>
      <c r="Y108" s="174"/>
    </row>
    <row r="109" spans="1:25" x14ac:dyDescent="0.25">
      <c r="A109" s="175" t="str">
        <f>wp_axe&amp;" "&amp;12</f>
        <v>Battle Axe 12</v>
      </c>
      <c r="B109" s="175">
        <v>5</v>
      </c>
      <c r="C109" s="175">
        <v>4</v>
      </c>
      <c r="D109" s="175">
        <v>4</v>
      </c>
      <c r="E109" s="175"/>
      <c r="F109" s="175"/>
      <c r="G109" s="175"/>
      <c r="H109" s="175"/>
      <c r="I109" s="174"/>
      <c r="J109" s="174"/>
      <c r="K109" s="174"/>
      <c r="L109" s="174"/>
      <c r="M109" s="174"/>
      <c r="N109" s="174"/>
      <c r="O109" s="174"/>
      <c r="P109" s="174"/>
      <c r="Q109" s="174"/>
      <c r="R109" s="174"/>
      <c r="S109" s="174"/>
      <c r="T109" s="174"/>
      <c r="U109" s="174"/>
      <c r="V109" s="174"/>
      <c r="W109" s="174"/>
      <c r="X109" s="174"/>
      <c r="Y109" s="174"/>
    </row>
    <row r="110" spans="1:25" x14ac:dyDescent="0.25">
      <c r="A110" s="175" t="str">
        <f>wp_axe&amp;" "&amp;13</f>
        <v>Battle Axe 13</v>
      </c>
      <c r="B110" s="175">
        <v>5</v>
      </c>
      <c r="C110" s="175">
        <v>4</v>
      </c>
      <c r="D110" s="175">
        <v>4</v>
      </c>
      <c r="E110" s="175"/>
      <c r="F110" s="175"/>
      <c r="G110" s="175"/>
      <c r="H110" s="175"/>
      <c r="I110" s="174"/>
      <c r="J110" s="174"/>
      <c r="K110" s="174"/>
      <c r="L110" s="174"/>
      <c r="M110" s="174"/>
      <c r="N110" s="174"/>
      <c r="O110" s="174"/>
      <c r="P110" s="174"/>
      <c r="Q110" s="174"/>
      <c r="R110" s="174"/>
      <c r="S110" s="174"/>
      <c r="T110" s="174"/>
      <c r="U110" s="174"/>
      <c r="V110" s="174"/>
      <c r="W110" s="174"/>
      <c r="X110" s="174"/>
      <c r="Y110" s="174"/>
    </row>
    <row r="111" spans="1:25" x14ac:dyDescent="0.25">
      <c r="A111" s="175" t="str">
        <f>wp_axe&amp;" "&amp;14</f>
        <v>Battle Axe 14</v>
      </c>
      <c r="B111" s="175">
        <v>5</v>
      </c>
      <c r="C111" s="175">
        <v>4</v>
      </c>
      <c r="D111" s="175">
        <v>4</v>
      </c>
      <c r="E111" s="175"/>
      <c r="F111" s="175"/>
      <c r="G111" s="175"/>
      <c r="H111" s="175"/>
      <c r="I111" s="174"/>
      <c r="J111" s="174"/>
      <c r="K111" s="174"/>
      <c r="L111" s="174"/>
      <c r="M111" s="174"/>
      <c r="N111" s="174"/>
      <c r="O111" s="174"/>
      <c r="P111" s="174"/>
      <c r="Q111" s="174"/>
      <c r="R111" s="174"/>
      <c r="S111" s="174"/>
      <c r="T111" s="174"/>
      <c r="U111" s="174"/>
      <c r="V111" s="174"/>
      <c r="W111" s="174"/>
      <c r="X111" s="174"/>
      <c r="Y111" s="174"/>
    </row>
    <row r="112" spans="1:25" x14ac:dyDescent="0.25">
      <c r="A112" s="175" t="str">
        <f>wp_axe&amp;" "&amp;15</f>
        <v>Battle Axe 15</v>
      </c>
      <c r="B112" s="175">
        <v>5</v>
      </c>
      <c r="C112" s="175">
        <v>4</v>
      </c>
      <c r="D112" s="175">
        <v>4</v>
      </c>
      <c r="E112" s="175"/>
      <c r="F112" s="175"/>
      <c r="G112" s="175"/>
      <c r="H112" s="175"/>
      <c r="I112" s="174"/>
      <c r="J112" s="174"/>
      <c r="K112" s="174"/>
      <c r="L112" s="174"/>
      <c r="M112" s="174"/>
      <c r="N112" s="174"/>
      <c r="O112" s="174"/>
      <c r="P112" s="174"/>
      <c r="Q112" s="174"/>
      <c r="R112" s="174"/>
      <c r="S112" s="174"/>
      <c r="T112" s="174"/>
      <c r="U112" s="174"/>
      <c r="V112" s="174"/>
      <c r="W112" s="174"/>
      <c r="X112" s="174"/>
      <c r="Y112" s="174"/>
    </row>
    <row r="113" spans="1:25" x14ac:dyDescent="0.25">
      <c r="A113" s="175" t="str">
        <f>wp_blunt&amp;" "&amp;1</f>
        <v>Blunt 1</v>
      </c>
      <c r="B113" s="175">
        <v>1</v>
      </c>
      <c r="C113" s="175">
        <v>1</v>
      </c>
      <c r="D113" s="175"/>
      <c r="E113" s="175"/>
      <c r="F113" s="175"/>
      <c r="G113" s="175"/>
      <c r="H113" s="175"/>
      <c r="I113" s="174"/>
      <c r="J113" s="174"/>
      <c r="K113" s="174"/>
      <c r="L113" s="174"/>
      <c r="M113" s="174"/>
      <c r="N113" s="174"/>
      <c r="O113" s="174"/>
      <c r="P113" s="174"/>
      <c r="Q113" s="174"/>
      <c r="R113" s="174"/>
      <c r="S113" s="174"/>
      <c r="T113" s="174"/>
      <c r="U113" s="174"/>
      <c r="V113" s="174"/>
      <c r="W113" s="174"/>
      <c r="X113" s="174"/>
      <c r="Y113" s="174"/>
    </row>
    <row r="114" spans="1:25" x14ac:dyDescent="0.25">
      <c r="A114" s="175" t="str">
        <f>wp_blunt&amp;" "&amp;2</f>
        <v>Blunt 2</v>
      </c>
      <c r="B114" s="175">
        <v>1</v>
      </c>
      <c r="C114" s="175">
        <v>1</v>
      </c>
      <c r="D114" s="175"/>
      <c r="E114" s="175"/>
      <c r="F114" s="175"/>
      <c r="G114" s="175"/>
      <c r="H114" s="175"/>
      <c r="I114" s="174"/>
      <c r="J114" s="174"/>
      <c r="K114" s="174"/>
      <c r="L114" s="174"/>
      <c r="M114" s="174"/>
      <c r="N114" s="174"/>
      <c r="O114" s="174"/>
      <c r="P114" s="174"/>
      <c r="Q114" s="174"/>
      <c r="R114" s="174"/>
      <c r="S114" s="174"/>
      <c r="T114" s="174"/>
      <c r="U114" s="174"/>
      <c r="V114" s="174"/>
      <c r="W114" s="174"/>
      <c r="X114" s="174"/>
      <c r="Y114" s="174"/>
    </row>
    <row r="115" spans="1:25" x14ac:dyDescent="0.25">
      <c r="A115" s="175" t="str">
        <f>wp_blunt&amp;" "&amp;3</f>
        <v>Blunt 3</v>
      </c>
      <c r="B115" s="175">
        <v>2</v>
      </c>
      <c r="C115" s="175">
        <v>2</v>
      </c>
      <c r="D115" s="175"/>
      <c r="E115" s="175"/>
      <c r="F115" s="175"/>
      <c r="G115" s="175"/>
      <c r="H115" s="175"/>
      <c r="I115" s="174"/>
      <c r="J115" s="174"/>
      <c r="K115" s="174"/>
      <c r="L115" s="174"/>
      <c r="M115" s="174"/>
      <c r="N115" s="174"/>
      <c r="O115" s="174"/>
      <c r="P115" s="174"/>
      <c r="Q115" s="174"/>
      <c r="R115" s="174"/>
      <c r="S115" s="174"/>
      <c r="T115" s="174"/>
      <c r="U115" s="174"/>
      <c r="V115" s="174"/>
      <c r="W115" s="174"/>
      <c r="X115" s="174"/>
      <c r="Y115" s="174"/>
    </row>
    <row r="116" spans="1:25" x14ac:dyDescent="0.25">
      <c r="A116" s="175" t="str">
        <f>wp_blunt&amp;" "&amp;4</f>
        <v>Blunt 4</v>
      </c>
      <c r="B116" s="175">
        <v>2</v>
      </c>
      <c r="C116" s="175">
        <v>2</v>
      </c>
      <c r="D116" s="175"/>
      <c r="E116" s="175"/>
      <c r="F116" s="175"/>
      <c r="G116" s="175"/>
      <c r="H116" s="175"/>
      <c r="I116" s="174"/>
      <c r="J116" s="174"/>
      <c r="K116" s="174"/>
      <c r="L116" s="174"/>
      <c r="M116" s="174"/>
      <c r="N116" s="174"/>
      <c r="O116" s="174"/>
      <c r="P116" s="174"/>
      <c r="Q116" s="174"/>
      <c r="R116" s="174"/>
      <c r="S116" s="174"/>
      <c r="T116" s="174"/>
      <c r="U116" s="174"/>
      <c r="V116" s="174"/>
      <c r="W116" s="174"/>
      <c r="X116" s="174"/>
      <c r="Y116" s="174"/>
    </row>
    <row r="117" spans="1:25" x14ac:dyDescent="0.25">
      <c r="A117" s="175" t="str">
        <f>wp_blunt&amp;" "&amp;5</f>
        <v>Blunt 5</v>
      </c>
      <c r="B117" s="175">
        <v>2</v>
      </c>
      <c r="C117" s="175">
        <v>2</v>
      </c>
      <c r="D117" s="175">
        <v>1</v>
      </c>
      <c r="E117" s="175"/>
      <c r="F117" s="175"/>
      <c r="G117" s="175"/>
      <c r="H117" s="175"/>
      <c r="I117" s="174"/>
      <c r="J117" s="174"/>
      <c r="K117" s="174"/>
      <c r="L117" s="174"/>
      <c r="M117" s="174"/>
      <c r="N117" s="174"/>
      <c r="O117" s="174"/>
      <c r="P117" s="174"/>
      <c r="Q117" s="174"/>
      <c r="R117" s="174"/>
      <c r="S117" s="174"/>
      <c r="T117" s="174"/>
      <c r="U117" s="174"/>
      <c r="V117" s="174"/>
      <c r="W117" s="174"/>
      <c r="X117" s="174"/>
      <c r="Y117" s="174"/>
    </row>
    <row r="118" spans="1:25" x14ac:dyDescent="0.25">
      <c r="A118" s="175" t="str">
        <f>wp_blunt&amp;" "&amp;6</f>
        <v>Blunt 6</v>
      </c>
      <c r="B118" s="175">
        <v>3</v>
      </c>
      <c r="C118" s="175">
        <v>3</v>
      </c>
      <c r="D118" s="175">
        <v>1</v>
      </c>
      <c r="E118" s="175"/>
      <c r="F118" s="175"/>
      <c r="G118" s="175"/>
      <c r="H118" s="175"/>
      <c r="I118" s="174"/>
      <c r="J118" s="174"/>
      <c r="K118" s="174"/>
      <c r="L118" s="174"/>
      <c r="M118" s="174"/>
      <c r="N118" s="174"/>
      <c r="O118" s="174"/>
      <c r="P118" s="174"/>
      <c r="Q118" s="174"/>
      <c r="R118" s="174"/>
      <c r="S118" s="174"/>
      <c r="T118" s="174"/>
      <c r="U118" s="174"/>
      <c r="V118" s="174"/>
      <c r="W118" s="174"/>
      <c r="X118" s="174"/>
      <c r="Y118" s="174"/>
    </row>
    <row r="119" spans="1:25" x14ac:dyDescent="0.25">
      <c r="A119" s="175" t="str">
        <f>wp_blunt&amp;" "&amp;7</f>
        <v>Blunt 7</v>
      </c>
      <c r="B119" s="175">
        <v>3</v>
      </c>
      <c r="C119" s="175">
        <v>3</v>
      </c>
      <c r="D119" s="175">
        <v>1</v>
      </c>
      <c r="E119" s="175"/>
      <c r="F119" s="175"/>
      <c r="G119" s="175"/>
      <c r="H119" s="175"/>
      <c r="I119" s="174"/>
      <c r="J119" s="174"/>
      <c r="K119" s="174"/>
      <c r="L119" s="174"/>
      <c r="M119" s="174"/>
      <c r="N119" s="174"/>
      <c r="O119" s="174"/>
      <c r="P119" s="174"/>
      <c r="Q119" s="174"/>
      <c r="R119" s="174"/>
      <c r="S119" s="174"/>
      <c r="T119" s="174"/>
      <c r="U119" s="174"/>
      <c r="V119" s="174"/>
      <c r="W119" s="174"/>
      <c r="X119" s="174"/>
      <c r="Y119" s="174"/>
    </row>
    <row r="120" spans="1:25" x14ac:dyDescent="0.25">
      <c r="A120" s="175" t="str">
        <f>wp_blunt&amp;" "&amp;8</f>
        <v>Blunt 8</v>
      </c>
      <c r="B120" s="175">
        <v>3</v>
      </c>
      <c r="C120" s="175">
        <v>3</v>
      </c>
      <c r="D120" s="175">
        <v>1</v>
      </c>
      <c r="E120" s="175"/>
      <c r="F120" s="175"/>
      <c r="G120" s="175"/>
      <c r="H120" s="175"/>
      <c r="I120" s="174"/>
      <c r="J120" s="174"/>
      <c r="K120" s="174"/>
      <c r="L120" s="174"/>
      <c r="M120" s="174"/>
      <c r="N120" s="174"/>
      <c r="O120" s="174"/>
      <c r="P120" s="174"/>
      <c r="Q120" s="174"/>
      <c r="R120" s="174"/>
      <c r="S120" s="174"/>
      <c r="T120" s="174"/>
      <c r="U120" s="174"/>
      <c r="V120" s="174"/>
      <c r="W120" s="174"/>
      <c r="X120" s="174"/>
      <c r="Y120" s="174"/>
    </row>
    <row r="121" spans="1:25" x14ac:dyDescent="0.25">
      <c r="A121" s="175" t="str">
        <f>wp_blunt&amp;" "&amp;9</f>
        <v>Blunt 9</v>
      </c>
      <c r="B121" s="175">
        <v>4</v>
      </c>
      <c r="C121" s="175">
        <v>4</v>
      </c>
      <c r="D121" s="175">
        <v>1</v>
      </c>
      <c r="E121" s="175"/>
      <c r="F121" s="175"/>
      <c r="G121" s="175"/>
      <c r="H121" s="175"/>
      <c r="I121" s="174"/>
      <c r="J121" s="174"/>
      <c r="K121" s="174"/>
      <c r="L121" s="174"/>
      <c r="M121" s="174"/>
      <c r="N121" s="174"/>
      <c r="O121" s="174"/>
      <c r="P121" s="174"/>
      <c r="Q121" s="174"/>
      <c r="R121" s="174"/>
      <c r="S121" s="174"/>
      <c r="T121" s="174"/>
      <c r="U121" s="174"/>
      <c r="V121" s="174"/>
      <c r="W121" s="174"/>
      <c r="X121" s="174"/>
      <c r="Y121" s="174"/>
    </row>
    <row r="122" spans="1:25" x14ac:dyDescent="0.25">
      <c r="A122" s="175" t="str">
        <f>wp_blunt&amp;" "&amp;10</f>
        <v>Blunt 10</v>
      </c>
      <c r="B122" s="175">
        <v>4</v>
      </c>
      <c r="C122" s="175">
        <v>4</v>
      </c>
      <c r="D122" s="175">
        <v>2</v>
      </c>
      <c r="E122" s="175"/>
      <c r="F122" s="175"/>
      <c r="G122" s="175"/>
      <c r="H122" s="175"/>
      <c r="I122" s="174"/>
      <c r="J122" s="174"/>
      <c r="K122" s="174"/>
      <c r="L122" s="174"/>
      <c r="M122" s="174"/>
      <c r="N122" s="174"/>
      <c r="O122" s="174"/>
      <c r="P122" s="174"/>
      <c r="Q122" s="174"/>
      <c r="R122" s="174"/>
      <c r="S122" s="174"/>
      <c r="T122" s="174"/>
      <c r="U122" s="174"/>
      <c r="V122" s="174"/>
      <c r="W122" s="174"/>
      <c r="X122" s="174"/>
      <c r="Y122" s="174"/>
    </row>
    <row r="123" spans="1:25" x14ac:dyDescent="0.25">
      <c r="A123" s="175" t="str">
        <f>wp_blunt&amp;" "&amp;11</f>
        <v>Blunt 11</v>
      </c>
      <c r="B123" s="175">
        <v>4</v>
      </c>
      <c r="C123" s="175">
        <v>4</v>
      </c>
      <c r="D123" s="175">
        <v>2</v>
      </c>
      <c r="E123" s="175"/>
      <c r="F123" s="175"/>
      <c r="G123" s="175"/>
      <c r="H123" s="175"/>
      <c r="I123" s="174"/>
      <c r="J123" s="174"/>
      <c r="K123" s="174"/>
      <c r="L123" s="174"/>
      <c r="M123" s="174"/>
      <c r="N123" s="174"/>
      <c r="O123" s="174"/>
      <c r="P123" s="174"/>
      <c r="Q123" s="174"/>
      <c r="R123" s="174"/>
      <c r="S123" s="174"/>
      <c r="T123" s="174"/>
      <c r="U123" s="174"/>
      <c r="V123" s="174"/>
      <c r="W123" s="174"/>
      <c r="X123" s="174"/>
      <c r="Y123" s="174"/>
    </row>
    <row r="124" spans="1:25" x14ac:dyDescent="0.25">
      <c r="A124" s="175" t="str">
        <f>wp_blunt&amp;" "&amp;12</f>
        <v>Blunt 12</v>
      </c>
      <c r="B124" s="175">
        <v>5</v>
      </c>
      <c r="C124" s="175">
        <v>5</v>
      </c>
      <c r="D124" s="175">
        <v>2</v>
      </c>
      <c r="E124" s="175"/>
      <c r="F124" s="175"/>
      <c r="G124" s="175"/>
      <c r="H124" s="175"/>
      <c r="I124" s="174"/>
      <c r="J124" s="174"/>
      <c r="K124" s="174"/>
      <c r="L124" s="174"/>
      <c r="M124" s="174"/>
      <c r="N124" s="174"/>
      <c r="O124" s="174"/>
      <c r="P124" s="174"/>
      <c r="Q124" s="174"/>
      <c r="R124" s="174"/>
      <c r="S124" s="174"/>
      <c r="T124" s="174"/>
      <c r="U124" s="174"/>
      <c r="V124" s="174"/>
      <c r="W124" s="174"/>
      <c r="X124" s="174"/>
      <c r="Y124" s="174"/>
    </row>
    <row r="125" spans="1:25" x14ac:dyDescent="0.25">
      <c r="A125" s="175" t="str">
        <f>wp_blunt&amp;" "&amp;13</f>
        <v>Blunt 13</v>
      </c>
      <c r="B125" s="175">
        <v>5</v>
      </c>
      <c r="C125" s="175">
        <v>5</v>
      </c>
      <c r="D125" s="175">
        <v>2</v>
      </c>
      <c r="E125" s="175"/>
      <c r="F125" s="175"/>
      <c r="G125" s="175"/>
      <c r="H125" s="175"/>
      <c r="I125" s="174"/>
      <c r="J125" s="174"/>
      <c r="K125" s="174"/>
      <c r="L125" s="174"/>
      <c r="M125" s="174"/>
      <c r="N125" s="174"/>
      <c r="O125" s="174"/>
      <c r="P125" s="174"/>
      <c r="Q125" s="174"/>
      <c r="R125" s="174"/>
      <c r="S125" s="174"/>
      <c r="T125" s="174"/>
      <c r="U125" s="174"/>
      <c r="V125" s="174"/>
      <c r="W125" s="174"/>
      <c r="X125" s="174"/>
      <c r="Y125" s="174"/>
    </row>
    <row r="126" spans="1:25" x14ac:dyDescent="0.25">
      <c r="A126" s="175" t="str">
        <f>wp_blunt&amp;" "&amp;14</f>
        <v>Blunt 14</v>
      </c>
      <c r="B126" s="175">
        <v>5</v>
      </c>
      <c r="C126" s="175">
        <v>5</v>
      </c>
      <c r="D126" s="175">
        <v>2</v>
      </c>
      <c r="E126" s="175"/>
      <c r="F126" s="175"/>
      <c r="G126" s="175"/>
      <c r="H126" s="175"/>
      <c r="I126" s="174"/>
      <c r="J126" s="174"/>
      <c r="K126" s="174"/>
      <c r="L126" s="174"/>
      <c r="M126" s="174"/>
      <c r="N126" s="174"/>
      <c r="O126" s="174"/>
      <c r="P126" s="174"/>
      <c r="Q126" s="174"/>
      <c r="R126" s="174"/>
      <c r="S126" s="174"/>
      <c r="T126" s="174"/>
      <c r="U126" s="174"/>
      <c r="V126" s="174"/>
      <c r="W126" s="174"/>
      <c r="X126" s="174"/>
      <c r="Y126" s="174"/>
    </row>
    <row r="127" spans="1:25" x14ac:dyDescent="0.25">
      <c r="A127" s="175" t="str">
        <f>wp_blunt&amp;" "&amp;15</f>
        <v>Blunt 15</v>
      </c>
      <c r="B127" s="175">
        <v>5</v>
      </c>
      <c r="C127" s="175">
        <v>5</v>
      </c>
      <c r="D127" s="175">
        <v>3</v>
      </c>
      <c r="E127" s="175"/>
      <c r="F127" s="175"/>
      <c r="G127" s="175"/>
      <c r="H127" s="175"/>
      <c r="I127" s="174"/>
      <c r="J127" s="174"/>
      <c r="K127" s="174"/>
      <c r="L127" s="174"/>
      <c r="M127" s="174"/>
      <c r="N127" s="174"/>
      <c r="O127" s="174"/>
      <c r="P127" s="174"/>
      <c r="Q127" s="174"/>
      <c r="R127" s="174"/>
      <c r="S127" s="174"/>
      <c r="T127" s="174"/>
      <c r="U127" s="174"/>
      <c r="V127" s="174"/>
      <c r="W127" s="174"/>
      <c r="X127" s="174"/>
      <c r="Y127" s="174"/>
    </row>
    <row r="128" spans="1:25" x14ac:dyDescent="0.25">
      <c r="A128" s="175" t="str">
        <f>wp_chain&amp;" "&amp;1</f>
        <v>Chain 1</v>
      </c>
      <c r="B128" s="175">
        <v>1</v>
      </c>
      <c r="C128" s="175"/>
      <c r="D128" s="175"/>
      <c r="E128" s="175"/>
      <c r="F128" s="175"/>
      <c r="G128" s="175"/>
      <c r="H128" s="175"/>
      <c r="I128" s="174"/>
      <c r="J128" s="174"/>
      <c r="K128" s="174"/>
      <c r="L128" s="174"/>
      <c r="M128" s="174"/>
      <c r="N128" s="174"/>
      <c r="O128" s="174"/>
      <c r="P128" s="174"/>
      <c r="Q128" s="174"/>
      <c r="R128" s="174"/>
      <c r="S128" s="174"/>
      <c r="T128" s="174"/>
      <c r="U128" s="174"/>
      <c r="V128" s="174"/>
      <c r="W128" s="174"/>
      <c r="X128" s="174"/>
      <c r="Y128" s="174"/>
    </row>
    <row r="129" spans="1:25" x14ac:dyDescent="0.25">
      <c r="A129" s="175" t="str">
        <f>wp_chain&amp;" "&amp;2</f>
        <v>Chain 2</v>
      </c>
      <c r="B129" s="175">
        <v>1</v>
      </c>
      <c r="C129" s="175"/>
      <c r="D129" s="175"/>
      <c r="E129" s="175"/>
      <c r="F129" s="175"/>
      <c r="G129" s="175"/>
      <c r="H129" s="175"/>
      <c r="I129" s="174"/>
      <c r="J129" s="174"/>
      <c r="K129" s="174"/>
      <c r="L129" s="174"/>
      <c r="M129" s="174"/>
      <c r="N129" s="174"/>
      <c r="O129" s="174"/>
      <c r="P129" s="174"/>
      <c r="Q129" s="174"/>
      <c r="R129" s="174"/>
      <c r="S129" s="174"/>
      <c r="T129" s="174"/>
      <c r="U129" s="174"/>
      <c r="V129" s="174"/>
      <c r="W129" s="174"/>
      <c r="X129" s="174"/>
      <c r="Y129" s="174"/>
    </row>
    <row r="130" spans="1:25" x14ac:dyDescent="0.25">
      <c r="A130" s="175" t="str">
        <f>wp_chain&amp;" "&amp;3</f>
        <v>Chain 3</v>
      </c>
      <c r="B130" s="175">
        <v>2</v>
      </c>
      <c r="C130" s="175"/>
      <c r="D130" s="175"/>
      <c r="E130" s="175"/>
      <c r="F130" s="175"/>
      <c r="G130" s="175"/>
      <c r="H130" s="175"/>
      <c r="I130" s="174"/>
      <c r="J130" s="174"/>
      <c r="K130" s="174"/>
      <c r="L130" s="174"/>
      <c r="M130" s="174"/>
      <c r="N130" s="174"/>
      <c r="O130" s="174"/>
      <c r="P130" s="174"/>
      <c r="Q130" s="174"/>
      <c r="R130" s="174"/>
      <c r="S130" s="174"/>
      <c r="T130" s="174"/>
      <c r="U130" s="174"/>
      <c r="V130" s="174"/>
      <c r="W130" s="174"/>
      <c r="X130" s="174"/>
      <c r="Y130" s="174"/>
    </row>
    <row r="131" spans="1:25" x14ac:dyDescent="0.25">
      <c r="A131" s="175" t="str">
        <f>wp_chain&amp;" "&amp;4</f>
        <v>Chain 4</v>
      </c>
      <c r="B131" s="175">
        <v>2</v>
      </c>
      <c r="C131" s="175">
        <v>1</v>
      </c>
      <c r="D131" s="175"/>
      <c r="E131" s="175"/>
      <c r="F131" s="175"/>
      <c r="G131" s="175"/>
      <c r="H131" s="175"/>
      <c r="I131" s="174"/>
      <c r="J131" s="174"/>
      <c r="K131" s="174"/>
      <c r="L131" s="174"/>
      <c r="M131" s="174"/>
      <c r="N131" s="174"/>
      <c r="O131" s="174"/>
      <c r="P131" s="174"/>
      <c r="Q131" s="174"/>
      <c r="R131" s="174"/>
      <c r="S131" s="174"/>
      <c r="T131" s="174"/>
      <c r="U131" s="174"/>
      <c r="V131" s="174"/>
      <c r="W131" s="174"/>
      <c r="X131" s="174"/>
      <c r="Y131" s="174"/>
    </row>
    <row r="132" spans="1:25" x14ac:dyDescent="0.25">
      <c r="A132" s="175" t="str">
        <f>wp_chain&amp;" "&amp;5</f>
        <v>Chain 5</v>
      </c>
      <c r="B132" s="175">
        <v>2</v>
      </c>
      <c r="C132" s="175">
        <v>1</v>
      </c>
      <c r="D132" s="175"/>
      <c r="E132" s="175"/>
      <c r="F132" s="175"/>
      <c r="G132" s="175"/>
      <c r="H132" s="175"/>
      <c r="I132" s="174"/>
      <c r="J132" s="174"/>
      <c r="K132" s="174"/>
      <c r="L132" s="174"/>
      <c r="M132" s="174"/>
      <c r="N132" s="174"/>
      <c r="O132" s="174"/>
      <c r="P132" s="174"/>
      <c r="Q132" s="174"/>
      <c r="R132" s="174"/>
      <c r="S132" s="174"/>
      <c r="T132" s="174"/>
      <c r="U132" s="174"/>
      <c r="V132" s="174"/>
      <c r="W132" s="174"/>
      <c r="X132" s="174"/>
      <c r="Y132" s="174"/>
    </row>
    <row r="133" spans="1:25" x14ac:dyDescent="0.25">
      <c r="A133" s="175" t="str">
        <f>wp_chain&amp;" "&amp;6</f>
        <v>Chain 6</v>
      </c>
      <c r="B133" s="175">
        <v>2</v>
      </c>
      <c r="C133" s="175">
        <v>1</v>
      </c>
      <c r="D133" s="175"/>
      <c r="E133" s="175"/>
      <c r="F133" s="175"/>
      <c r="G133" s="175"/>
      <c r="H133" s="175"/>
      <c r="I133" s="174"/>
      <c r="J133" s="174"/>
      <c r="K133" s="174"/>
      <c r="L133" s="174"/>
      <c r="M133" s="174"/>
      <c r="N133" s="174"/>
      <c r="O133" s="174"/>
      <c r="P133" s="174"/>
      <c r="Q133" s="174"/>
      <c r="R133" s="174"/>
      <c r="S133" s="174"/>
      <c r="T133" s="174"/>
      <c r="U133" s="174"/>
      <c r="V133" s="174"/>
      <c r="W133" s="174"/>
      <c r="X133" s="174"/>
      <c r="Y133" s="174"/>
    </row>
    <row r="134" spans="1:25" x14ac:dyDescent="0.25">
      <c r="A134" s="175" t="str">
        <f>wp_chain&amp;" "&amp;7</f>
        <v>Chain 7</v>
      </c>
      <c r="B134" s="175">
        <v>3</v>
      </c>
      <c r="C134" s="175">
        <v>1</v>
      </c>
      <c r="D134" s="175"/>
      <c r="E134" s="175"/>
      <c r="F134" s="175"/>
      <c r="G134" s="175"/>
      <c r="H134" s="175"/>
      <c r="I134" s="174"/>
      <c r="J134" s="174"/>
      <c r="K134" s="174"/>
      <c r="L134" s="174"/>
      <c r="M134" s="174"/>
      <c r="N134" s="174"/>
      <c r="O134" s="174"/>
      <c r="P134" s="174"/>
      <c r="Q134" s="174"/>
      <c r="R134" s="174"/>
      <c r="S134" s="174"/>
      <c r="T134" s="174"/>
      <c r="U134" s="174"/>
      <c r="V134" s="174"/>
      <c r="W134" s="174"/>
      <c r="X134" s="174"/>
      <c r="Y134" s="174"/>
    </row>
    <row r="135" spans="1:25" x14ac:dyDescent="0.25">
      <c r="A135" s="175" t="str">
        <f>wp_chain&amp;" "&amp;8</f>
        <v>Chain 8</v>
      </c>
      <c r="B135" s="175">
        <v>3</v>
      </c>
      <c r="C135" s="175">
        <v>2</v>
      </c>
      <c r="D135" s="175"/>
      <c r="E135" s="175"/>
      <c r="F135" s="175"/>
      <c r="G135" s="175"/>
      <c r="H135" s="175"/>
      <c r="I135" s="174"/>
      <c r="J135" s="174"/>
      <c r="K135" s="174"/>
      <c r="L135" s="174"/>
      <c r="M135" s="174"/>
      <c r="N135" s="174"/>
      <c r="O135" s="174"/>
      <c r="P135" s="174"/>
      <c r="Q135" s="174"/>
      <c r="R135" s="174"/>
      <c r="S135" s="174"/>
      <c r="T135" s="174"/>
      <c r="U135" s="174"/>
      <c r="V135" s="174"/>
      <c r="W135" s="174"/>
      <c r="X135" s="174"/>
      <c r="Y135" s="174"/>
    </row>
    <row r="136" spans="1:25" x14ac:dyDescent="0.25">
      <c r="A136" s="175" t="str">
        <f>wp_chain&amp;" "&amp;9</f>
        <v>Chain 9</v>
      </c>
      <c r="B136" s="175">
        <v>3</v>
      </c>
      <c r="C136" s="175">
        <v>2</v>
      </c>
      <c r="D136" s="175"/>
      <c r="E136" s="175"/>
      <c r="F136" s="175"/>
      <c r="G136" s="175"/>
      <c r="H136" s="175"/>
      <c r="I136" s="174"/>
      <c r="J136" s="174"/>
      <c r="K136" s="174"/>
      <c r="L136" s="174"/>
      <c r="M136" s="174"/>
      <c r="N136" s="174"/>
      <c r="O136" s="174"/>
      <c r="P136" s="174"/>
      <c r="Q136" s="174"/>
      <c r="R136" s="174"/>
      <c r="S136" s="174"/>
      <c r="T136" s="174"/>
      <c r="U136" s="174"/>
      <c r="V136" s="174"/>
      <c r="W136" s="174"/>
      <c r="X136" s="174"/>
      <c r="Y136" s="174"/>
    </row>
    <row r="137" spans="1:25" x14ac:dyDescent="0.25">
      <c r="A137" s="175" t="str">
        <f>wp_chain&amp;" "&amp;10</f>
        <v>Chain 10</v>
      </c>
      <c r="B137" s="175">
        <v>4</v>
      </c>
      <c r="C137" s="175">
        <v>2</v>
      </c>
      <c r="D137" s="175"/>
      <c r="E137" s="175"/>
      <c r="F137" s="175"/>
      <c r="G137" s="175"/>
      <c r="H137" s="175"/>
      <c r="I137" s="174"/>
      <c r="J137" s="174"/>
      <c r="K137" s="174"/>
      <c r="L137" s="174"/>
      <c r="M137" s="174"/>
      <c r="N137" s="174"/>
      <c r="O137" s="174"/>
      <c r="P137" s="174"/>
      <c r="Q137" s="174"/>
      <c r="R137" s="174"/>
      <c r="S137" s="174"/>
      <c r="T137" s="174"/>
      <c r="U137" s="174"/>
      <c r="V137" s="174"/>
      <c r="W137" s="174"/>
      <c r="X137" s="174"/>
      <c r="Y137" s="174"/>
    </row>
    <row r="138" spans="1:25" x14ac:dyDescent="0.25">
      <c r="A138" s="175" t="str">
        <f>wp_chain&amp;" "&amp;11</f>
        <v>Chain 11</v>
      </c>
      <c r="B138" s="175">
        <v>4</v>
      </c>
      <c r="C138" s="175">
        <v>2</v>
      </c>
      <c r="D138" s="175"/>
      <c r="E138" s="175"/>
      <c r="F138" s="175"/>
      <c r="G138" s="175"/>
      <c r="H138" s="175"/>
      <c r="I138" s="174"/>
      <c r="J138" s="174"/>
      <c r="K138" s="174"/>
      <c r="L138" s="174"/>
      <c r="M138" s="174"/>
      <c r="N138" s="174"/>
      <c r="O138" s="174"/>
      <c r="P138" s="174"/>
      <c r="Q138" s="174"/>
      <c r="R138" s="174"/>
      <c r="S138" s="174"/>
      <c r="T138" s="174"/>
      <c r="U138" s="174"/>
      <c r="V138" s="174"/>
      <c r="W138" s="174"/>
      <c r="X138" s="174"/>
      <c r="Y138" s="174"/>
    </row>
    <row r="139" spans="1:25" x14ac:dyDescent="0.25">
      <c r="A139" s="175" t="str">
        <f>wp_chain&amp;" "&amp;12</f>
        <v>Chain 12</v>
      </c>
      <c r="B139" s="175">
        <v>4</v>
      </c>
      <c r="C139" s="175">
        <v>3</v>
      </c>
      <c r="D139" s="175"/>
      <c r="E139" s="175"/>
      <c r="F139" s="175"/>
      <c r="G139" s="175"/>
      <c r="H139" s="175"/>
      <c r="I139" s="174"/>
      <c r="J139" s="174"/>
      <c r="K139" s="174"/>
      <c r="L139" s="174"/>
      <c r="M139" s="174"/>
      <c r="N139" s="174"/>
      <c r="O139" s="174"/>
      <c r="P139" s="174"/>
      <c r="Q139" s="174"/>
      <c r="R139" s="174"/>
      <c r="S139" s="174"/>
      <c r="T139" s="174"/>
      <c r="U139" s="174"/>
      <c r="V139" s="174"/>
      <c r="W139" s="174"/>
      <c r="X139" s="174"/>
      <c r="Y139" s="174"/>
    </row>
    <row r="140" spans="1:25" x14ac:dyDescent="0.25">
      <c r="A140" s="175" t="str">
        <f>wp_chain&amp;" "&amp;13</f>
        <v>Chain 13</v>
      </c>
      <c r="B140" s="175">
        <v>5</v>
      </c>
      <c r="C140" s="175">
        <v>3</v>
      </c>
      <c r="D140" s="175"/>
      <c r="E140" s="175"/>
      <c r="F140" s="175"/>
      <c r="G140" s="175"/>
      <c r="H140" s="175"/>
      <c r="I140" s="174"/>
      <c r="J140" s="174"/>
      <c r="K140" s="174"/>
      <c r="L140" s="174"/>
      <c r="M140" s="174"/>
      <c r="N140" s="174"/>
      <c r="O140" s="174"/>
      <c r="P140" s="174"/>
      <c r="Q140" s="174"/>
      <c r="R140" s="174"/>
      <c r="S140" s="174"/>
      <c r="T140" s="174"/>
      <c r="U140" s="174"/>
      <c r="V140" s="174"/>
      <c r="W140" s="174"/>
      <c r="X140" s="174"/>
      <c r="Y140" s="174"/>
    </row>
    <row r="141" spans="1:25" x14ac:dyDescent="0.25">
      <c r="A141" s="175" t="str">
        <f>wp_chain&amp;" "&amp;14</f>
        <v>Chain 14</v>
      </c>
      <c r="B141" s="175">
        <v>5</v>
      </c>
      <c r="C141" s="175">
        <v>3</v>
      </c>
      <c r="D141" s="175"/>
      <c r="E141" s="175"/>
      <c r="F141" s="175"/>
      <c r="G141" s="175"/>
      <c r="H141" s="175"/>
      <c r="I141" s="174"/>
      <c r="J141" s="174"/>
      <c r="K141" s="174"/>
      <c r="L141" s="174"/>
      <c r="M141" s="174"/>
      <c r="N141" s="174"/>
      <c r="O141" s="174"/>
      <c r="P141" s="174"/>
      <c r="Q141" s="174"/>
      <c r="R141" s="174"/>
      <c r="S141" s="174"/>
      <c r="T141" s="174"/>
      <c r="U141" s="174"/>
      <c r="V141" s="174"/>
      <c r="W141" s="174"/>
      <c r="X141" s="174"/>
      <c r="Y141" s="174"/>
    </row>
    <row r="142" spans="1:25" x14ac:dyDescent="0.25">
      <c r="A142" s="175" t="str">
        <f>wp_chain&amp;" "&amp;15</f>
        <v>Chain 15</v>
      </c>
      <c r="B142" s="175">
        <v>5</v>
      </c>
      <c r="C142" s="175">
        <v>3</v>
      </c>
      <c r="D142" s="175"/>
      <c r="E142" s="175"/>
      <c r="F142" s="175"/>
      <c r="G142" s="175"/>
      <c r="H142" s="175"/>
      <c r="I142" s="174"/>
      <c r="J142" s="174"/>
      <c r="K142" s="174"/>
      <c r="L142" s="174"/>
      <c r="M142" s="174"/>
      <c r="N142" s="174"/>
      <c r="O142" s="174"/>
      <c r="P142" s="174"/>
      <c r="Q142" s="174"/>
      <c r="R142" s="174"/>
      <c r="S142" s="174"/>
      <c r="T142" s="174"/>
      <c r="U142" s="174"/>
      <c r="V142" s="174"/>
      <c r="W142" s="174"/>
      <c r="X142" s="174"/>
      <c r="Y142" s="174"/>
    </row>
    <row r="143" spans="1:25" x14ac:dyDescent="0.25">
      <c r="A143" s="175" t="str">
        <f>wp_forked&amp;" "&amp;1</f>
        <v>Forked Weapons/Trident 1</v>
      </c>
      <c r="B143" s="175">
        <v>1</v>
      </c>
      <c r="C143" s="175">
        <v>1</v>
      </c>
      <c r="D143" s="175"/>
      <c r="E143" s="175">
        <v>1</v>
      </c>
      <c r="F143" s="175"/>
      <c r="G143" s="175"/>
      <c r="H143" s="175"/>
      <c r="I143" s="174"/>
      <c r="J143" s="174"/>
      <c r="K143" s="174"/>
      <c r="L143" s="174"/>
      <c r="M143" s="174"/>
      <c r="N143" s="174"/>
      <c r="O143" s="174"/>
      <c r="P143" s="174"/>
      <c r="Q143" s="174"/>
      <c r="R143" s="174"/>
      <c r="S143" s="174"/>
      <c r="T143" s="174"/>
      <c r="U143" s="174"/>
      <c r="V143" s="174"/>
      <c r="W143" s="174"/>
      <c r="X143" s="174"/>
      <c r="Y143" s="174"/>
    </row>
    <row r="144" spans="1:25" x14ac:dyDescent="0.25">
      <c r="A144" s="175" t="str">
        <f>wp_forked&amp;" "&amp;2</f>
        <v>Forked Weapons/Trident 2</v>
      </c>
      <c r="B144" s="175">
        <v>1</v>
      </c>
      <c r="C144" s="175">
        <v>1</v>
      </c>
      <c r="D144" s="175"/>
      <c r="E144" s="175">
        <v>1</v>
      </c>
      <c r="F144" s="175"/>
      <c r="G144" s="175"/>
      <c r="H144" s="175"/>
      <c r="I144" s="174"/>
      <c r="J144" s="174"/>
      <c r="K144" s="174"/>
      <c r="L144" s="174"/>
      <c r="M144" s="174"/>
      <c r="N144" s="174"/>
      <c r="O144" s="174"/>
      <c r="P144" s="174"/>
      <c r="Q144" s="174"/>
      <c r="R144" s="174"/>
      <c r="S144" s="174"/>
      <c r="T144" s="174"/>
      <c r="U144" s="174"/>
      <c r="V144" s="174"/>
      <c r="W144" s="174"/>
      <c r="X144" s="174"/>
      <c r="Y144" s="174"/>
    </row>
    <row r="145" spans="1:25" x14ac:dyDescent="0.25">
      <c r="A145" s="175" t="str">
        <f>wp_forked&amp;" "&amp;3</f>
        <v>Forked Weapons/Trident 3</v>
      </c>
      <c r="B145" s="175">
        <v>2</v>
      </c>
      <c r="C145" s="175">
        <v>2</v>
      </c>
      <c r="D145" s="175"/>
      <c r="E145" s="175">
        <v>2</v>
      </c>
      <c r="F145" s="175"/>
      <c r="G145" s="175"/>
      <c r="H145" s="175"/>
      <c r="I145" s="174"/>
      <c r="J145" s="174"/>
      <c r="K145" s="174"/>
      <c r="L145" s="174"/>
      <c r="M145" s="174"/>
      <c r="N145" s="174"/>
      <c r="O145" s="174"/>
      <c r="P145" s="174"/>
      <c r="Q145" s="174"/>
      <c r="R145" s="174"/>
      <c r="S145" s="174"/>
      <c r="T145" s="174"/>
      <c r="U145" s="174"/>
      <c r="V145" s="174"/>
      <c r="W145" s="174"/>
      <c r="X145" s="174"/>
      <c r="Y145" s="174"/>
    </row>
    <row r="146" spans="1:25" x14ac:dyDescent="0.25">
      <c r="A146" s="175" t="str">
        <f>wp_forked&amp;" "&amp;4</f>
        <v>Forked Weapons/Trident 4</v>
      </c>
      <c r="B146" s="175">
        <v>2</v>
      </c>
      <c r="C146" s="175">
        <v>2</v>
      </c>
      <c r="D146" s="175">
        <v>1</v>
      </c>
      <c r="E146" s="175">
        <v>2</v>
      </c>
      <c r="F146" s="175"/>
      <c r="G146" s="175"/>
      <c r="H146" s="175"/>
      <c r="I146" s="174"/>
      <c r="J146" s="174"/>
      <c r="K146" s="174"/>
      <c r="L146" s="174"/>
      <c r="M146" s="174"/>
      <c r="N146" s="174"/>
      <c r="O146" s="174"/>
      <c r="P146" s="174"/>
      <c r="Q146" s="174"/>
      <c r="R146" s="174"/>
      <c r="S146" s="174"/>
      <c r="T146" s="174"/>
      <c r="U146" s="174"/>
      <c r="V146" s="174"/>
      <c r="W146" s="174"/>
      <c r="X146" s="174"/>
      <c r="Y146" s="174"/>
    </row>
    <row r="147" spans="1:25" x14ac:dyDescent="0.25">
      <c r="A147" s="175" t="str">
        <f>wp_forked&amp;" "&amp;5</f>
        <v>Forked Weapons/Trident 5</v>
      </c>
      <c r="B147" s="175">
        <v>3</v>
      </c>
      <c r="C147" s="175">
        <v>2</v>
      </c>
      <c r="D147" s="175">
        <v>1</v>
      </c>
      <c r="E147" s="175">
        <v>3</v>
      </c>
      <c r="F147" s="175"/>
      <c r="G147" s="175"/>
      <c r="H147" s="175"/>
      <c r="I147" s="174"/>
      <c r="J147" s="174"/>
      <c r="K147" s="174"/>
      <c r="L147" s="174"/>
      <c r="M147" s="174"/>
      <c r="N147" s="174"/>
      <c r="O147" s="174"/>
      <c r="P147" s="174"/>
      <c r="Q147" s="174"/>
      <c r="R147" s="174"/>
      <c r="S147" s="174"/>
      <c r="T147" s="174"/>
      <c r="U147" s="174"/>
      <c r="V147" s="174"/>
      <c r="W147" s="174"/>
      <c r="X147" s="174"/>
      <c r="Y147" s="174"/>
    </row>
    <row r="148" spans="1:25" x14ac:dyDescent="0.25">
      <c r="A148" s="175" t="str">
        <f>wp_forked&amp;" "&amp;6</f>
        <v>Forked Weapons/Trident 6</v>
      </c>
      <c r="B148" s="175">
        <v>3</v>
      </c>
      <c r="C148" s="175">
        <v>3</v>
      </c>
      <c r="D148" s="175">
        <v>1</v>
      </c>
      <c r="E148" s="175">
        <v>3</v>
      </c>
      <c r="F148" s="175"/>
      <c r="G148" s="175"/>
      <c r="H148" s="175"/>
      <c r="I148" s="174"/>
      <c r="J148" s="174"/>
      <c r="K148" s="174"/>
      <c r="L148" s="174"/>
      <c r="M148" s="174"/>
      <c r="N148" s="174"/>
      <c r="O148" s="174"/>
      <c r="P148" s="174"/>
      <c r="Q148" s="174"/>
      <c r="R148" s="174"/>
      <c r="S148" s="174"/>
      <c r="T148" s="174"/>
      <c r="U148" s="174"/>
      <c r="V148" s="174"/>
      <c r="W148" s="174"/>
      <c r="X148" s="174"/>
      <c r="Y148" s="174"/>
    </row>
    <row r="149" spans="1:25" x14ac:dyDescent="0.25">
      <c r="A149" s="175" t="str">
        <f>wp_forked&amp;" "&amp;7</f>
        <v>Forked Weapons/Trident 7</v>
      </c>
      <c r="B149" s="175">
        <v>3</v>
      </c>
      <c r="C149" s="175">
        <v>3</v>
      </c>
      <c r="D149" s="175">
        <v>1</v>
      </c>
      <c r="E149" s="175">
        <v>3</v>
      </c>
      <c r="F149" s="175"/>
      <c r="G149" s="175"/>
      <c r="H149" s="175"/>
      <c r="I149" s="174"/>
      <c r="J149" s="174"/>
      <c r="K149" s="174"/>
      <c r="L149" s="174"/>
      <c r="M149" s="174"/>
      <c r="N149" s="174"/>
      <c r="O149" s="174"/>
      <c r="P149" s="174"/>
      <c r="Q149" s="174"/>
      <c r="R149" s="174"/>
      <c r="S149" s="174"/>
      <c r="T149" s="174"/>
      <c r="U149" s="174"/>
      <c r="V149" s="174"/>
      <c r="W149" s="174"/>
      <c r="X149" s="174"/>
      <c r="Y149" s="174"/>
    </row>
    <row r="150" spans="1:25" x14ac:dyDescent="0.25">
      <c r="A150" s="175" t="str">
        <f>wp_forked&amp;" "&amp;8</f>
        <v>Forked Weapons/Trident 8</v>
      </c>
      <c r="B150" s="175">
        <v>4</v>
      </c>
      <c r="C150" s="175">
        <v>3</v>
      </c>
      <c r="D150" s="175">
        <v>1</v>
      </c>
      <c r="E150" s="175">
        <v>4</v>
      </c>
      <c r="F150" s="175"/>
      <c r="G150" s="175"/>
      <c r="H150" s="175"/>
      <c r="I150" s="174"/>
      <c r="J150" s="174"/>
      <c r="K150" s="174"/>
      <c r="L150" s="174"/>
      <c r="M150" s="174"/>
      <c r="N150" s="174"/>
      <c r="O150" s="174"/>
      <c r="P150" s="174"/>
      <c r="Q150" s="174"/>
      <c r="R150" s="174"/>
      <c r="S150" s="174"/>
      <c r="T150" s="174"/>
      <c r="U150" s="174"/>
      <c r="V150" s="174"/>
      <c r="W150" s="174"/>
      <c r="X150" s="174"/>
      <c r="Y150" s="174"/>
    </row>
    <row r="151" spans="1:25" x14ac:dyDescent="0.25">
      <c r="A151" s="175" t="str">
        <f>wp_forked&amp;" "&amp;9</f>
        <v>Forked Weapons/Trident 9</v>
      </c>
      <c r="B151" s="175">
        <v>4</v>
      </c>
      <c r="C151" s="175">
        <v>3</v>
      </c>
      <c r="D151" s="175">
        <v>1</v>
      </c>
      <c r="E151" s="175">
        <v>4</v>
      </c>
      <c r="F151" s="175"/>
      <c r="G151" s="175"/>
      <c r="H151" s="175"/>
      <c r="I151" s="174"/>
      <c r="J151" s="174"/>
      <c r="K151" s="174"/>
      <c r="L151" s="174"/>
      <c r="M151" s="174"/>
      <c r="N151" s="174"/>
      <c r="O151" s="174"/>
      <c r="P151" s="174"/>
      <c r="Q151" s="174"/>
      <c r="R151" s="174"/>
      <c r="S151" s="174"/>
      <c r="T151" s="174"/>
      <c r="U151" s="174"/>
      <c r="V151" s="174"/>
      <c r="W151" s="174"/>
      <c r="X151" s="174"/>
      <c r="Y151" s="174"/>
    </row>
    <row r="152" spans="1:25" x14ac:dyDescent="0.25">
      <c r="A152" s="175" t="str">
        <f>wp_forked&amp;" "&amp;10</f>
        <v>Forked Weapons/Trident 10</v>
      </c>
      <c r="B152" s="175">
        <v>4</v>
      </c>
      <c r="C152" s="175">
        <v>4</v>
      </c>
      <c r="D152" s="175">
        <v>2</v>
      </c>
      <c r="E152" s="175">
        <v>4</v>
      </c>
      <c r="F152" s="175"/>
      <c r="G152" s="175"/>
      <c r="H152" s="175"/>
      <c r="I152" s="174"/>
      <c r="J152" s="174"/>
      <c r="K152" s="174"/>
      <c r="L152" s="174"/>
      <c r="M152" s="174"/>
      <c r="N152" s="174"/>
      <c r="O152" s="174"/>
      <c r="P152" s="174"/>
      <c r="Q152" s="174"/>
      <c r="R152" s="174"/>
      <c r="S152" s="174"/>
      <c r="T152" s="174"/>
      <c r="U152" s="174"/>
      <c r="V152" s="174"/>
      <c r="W152" s="174"/>
      <c r="X152" s="174"/>
      <c r="Y152" s="174"/>
    </row>
    <row r="153" spans="1:25" x14ac:dyDescent="0.25">
      <c r="A153" s="175" t="str">
        <f>wp_forked&amp;" "&amp;11</f>
        <v>Forked Weapons/Trident 11</v>
      </c>
      <c r="B153" s="175">
        <v>5</v>
      </c>
      <c r="C153" s="175">
        <v>4</v>
      </c>
      <c r="D153" s="175">
        <v>2</v>
      </c>
      <c r="E153" s="175">
        <v>5</v>
      </c>
      <c r="F153" s="175"/>
      <c r="G153" s="175"/>
      <c r="H153" s="175"/>
      <c r="I153" s="174"/>
      <c r="J153" s="174"/>
      <c r="K153" s="174"/>
      <c r="L153" s="174"/>
      <c r="M153" s="174"/>
      <c r="N153" s="174"/>
      <c r="O153" s="174"/>
      <c r="P153" s="174"/>
      <c r="Q153" s="174"/>
      <c r="R153" s="174"/>
      <c r="S153" s="174"/>
      <c r="T153" s="174"/>
      <c r="U153" s="174"/>
      <c r="V153" s="174"/>
      <c r="W153" s="174"/>
      <c r="X153" s="174"/>
      <c r="Y153" s="174"/>
    </row>
    <row r="154" spans="1:25" x14ac:dyDescent="0.25">
      <c r="A154" s="175" t="str">
        <f>wp_forked&amp;" "&amp;12</f>
        <v>Forked Weapons/Trident 12</v>
      </c>
      <c r="B154" s="175">
        <v>5</v>
      </c>
      <c r="C154" s="175">
        <v>4</v>
      </c>
      <c r="D154" s="175">
        <v>2</v>
      </c>
      <c r="E154" s="175">
        <v>5</v>
      </c>
      <c r="F154" s="175"/>
      <c r="G154" s="175"/>
      <c r="H154" s="175"/>
      <c r="I154" s="174"/>
      <c r="J154" s="174"/>
      <c r="K154" s="174"/>
      <c r="L154" s="174"/>
      <c r="M154" s="174"/>
      <c r="N154" s="174"/>
      <c r="O154" s="174"/>
      <c r="P154" s="174"/>
      <c r="Q154" s="174"/>
      <c r="R154" s="174"/>
      <c r="S154" s="174"/>
      <c r="T154" s="174"/>
      <c r="U154" s="174"/>
      <c r="V154" s="174"/>
      <c r="W154" s="174"/>
      <c r="X154" s="174"/>
      <c r="Y154" s="174"/>
    </row>
    <row r="155" spans="1:25" x14ac:dyDescent="0.25">
      <c r="A155" s="175" t="str">
        <f>wp_forked&amp;" "&amp;13</f>
        <v>Forked Weapons/Trident 13</v>
      </c>
      <c r="B155" s="175">
        <v>6</v>
      </c>
      <c r="C155" s="175">
        <v>5</v>
      </c>
      <c r="D155" s="175">
        <v>2</v>
      </c>
      <c r="E155" s="175">
        <v>6</v>
      </c>
      <c r="F155" s="175"/>
      <c r="G155" s="175"/>
      <c r="H155" s="175"/>
      <c r="I155" s="174"/>
      <c r="J155" s="174"/>
      <c r="K155" s="174"/>
      <c r="L155" s="174"/>
      <c r="M155" s="174"/>
      <c r="N155" s="174"/>
      <c r="O155" s="174"/>
      <c r="P155" s="174"/>
      <c r="Q155" s="174"/>
      <c r="R155" s="174"/>
      <c r="S155" s="174"/>
      <c r="T155" s="174"/>
      <c r="U155" s="174"/>
      <c r="V155" s="174"/>
      <c r="W155" s="174"/>
      <c r="X155" s="174"/>
      <c r="Y155" s="174"/>
    </row>
    <row r="156" spans="1:25" x14ac:dyDescent="0.25">
      <c r="A156" s="175" t="str">
        <f>wp_forked&amp;" "&amp;14</f>
        <v>Forked Weapons/Trident 14</v>
      </c>
      <c r="B156" s="175">
        <v>6</v>
      </c>
      <c r="C156" s="175">
        <v>5</v>
      </c>
      <c r="D156" s="175">
        <v>2</v>
      </c>
      <c r="E156" s="175">
        <v>6</v>
      </c>
      <c r="F156" s="175"/>
      <c r="G156" s="175"/>
      <c r="H156" s="175"/>
      <c r="I156" s="174"/>
      <c r="J156" s="174"/>
      <c r="K156" s="174"/>
      <c r="L156" s="174"/>
      <c r="M156" s="174"/>
      <c r="N156" s="174"/>
      <c r="O156" s="174"/>
      <c r="P156" s="174"/>
      <c r="Q156" s="174"/>
      <c r="R156" s="174"/>
      <c r="S156" s="174"/>
      <c r="T156" s="174"/>
      <c r="U156" s="174"/>
      <c r="V156" s="174"/>
      <c r="W156" s="174"/>
      <c r="X156" s="174"/>
      <c r="Y156" s="174"/>
    </row>
    <row r="157" spans="1:25" x14ac:dyDescent="0.25">
      <c r="A157" s="175" t="str">
        <f>wp_forked&amp;" "&amp;15</f>
        <v>Forked Weapons/Trident 15</v>
      </c>
      <c r="B157" s="175">
        <v>6</v>
      </c>
      <c r="C157" s="175">
        <v>5</v>
      </c>
      <c r="D157" s="175">
        <v>3</v>
      </c>
      <c r="E157" s="175">
        <v>6</v>
      </c>
      <c r="F157" s="175"/>
      <c r="G157" s="175"/>
      <c r="H157" s="175"/>
      <c r="I157" s="174"/>
      <c r="J157" s="174"/>
      <c r="K157" s="174"/>
      <c r="L157" s="174"/>
      <c r="M157" s="174"/>
      <c r="N157" s="174"/>
      <c r="O157" s="174"/>
      <c r="P157" s="174"/>
      <c r="Q157" s="174"/>
      <c r="R157" s="174"/>
      <c r="S157" s="174"/>
      <c r="T157" s="174"/>
      <c r="U157" s="174"/>
      <c r="V157" s="174"/>
      <c r="W157" s="174"/>
      <c r="X157" s="174"/>
      <c r="Y157" s="174"/>
    </row>
    <row r="158" spans="1:25" x14ac:dyDescent="0.25">
      <c r="A158" s="175" t="str">
        <f>wp_hook&amp;" "&amp;1</f>
        <v>Grappling Hook 1</v>
      </c>
      <c r="B158" s="175"/>
      <c r="C158" s="175" t="e">
        <v>#N/A</v>
      </c>
      <c r="D158" s="175"/>
      <c r="E158" s="175"/>
      <c r="F158" s="175"/>
      <c r="G158" s="175"/>
      <c r="H158" s="175"/>
      <c r="I158" s="174"/>
      <c r="J158" s="174"/>
      <c r="K158" s="174"/>
      <c r="L158" s="174"/>
      <c r="M158" s="174"/>
      <c r="N158" s="174"/>
      <c r="O158" s="174"/>
      <c r="P158" s="174"/>
      <c r="Q158" s="174"/>
      <c r="R158" s="174"/>
      <c r="S158" s="174"/>
      <c r="T158" s="174"/>
      <c r="U158" s="174"/>
      <c r="V158" s="174"/>
      <c r="W158" s="174"/>
      <c r="X158" s="174"/>
      <c r="Y158" s="174"/>
    </row>
    <row r="159" spans="1:25" x14ac:dyDescent="0.25">
      <c r="A159" s="175" t="str">
        <f>wp_hook&amp;" "&amp;2</f>
        <v>Grappling Hook 2</v>
      </c>
      <c r="B159" s="175"/>
      <c r="C159" s="175" t="e">
        <v>#N/A</v>
      </c>
      <c r="D159" s="175"/>
      <c r="E159" s="175"/>
      <c r="F159" s="175"/>
      <c r="G159" s="175"/>
      <c r="H159" s="175"/>
      <c r="I159" s="174"/>
      <c r="J159" s="174"/>
      <c r="K159" s="174"/>
      <c r="L159" s="174"/>
      <c r="M159" s="174"/>
      <c r="N159" s="174"/>
      <c r="O159" s="174"/>
      <c r="P159" s="174"/>
      <c r="Q159" s="174"/>
      <c r="R159" s="174"/>
      <c r="S159" s="174"/>
      <c r="T159" s="174"/>
      <c r="U159" s="174"/>
      <c r="V159" s="174"/>
      <c r="W159" s="174"/>
      <c r="X159" s="174"/>
      <c r="Y159" s="174"/>
    </row>
    <row r="160" spans="1:25" x14ac:dyDescent="0.25">
      <c r="A160" s="175" t="str">
        <f>wp_hook&amp;" "&amp;3</f>
        <v>Grappling Hook 3</v>
      </c>
      <c r="B160" s="175">
        <v>1</v>
      </c>
      <c r="C160" s="175" t="e">
        <v>#N/A</v>
      </c>
      <c r="D160" s="175"/>
      <c r="E160" s="175">
        <v>1</v>
      </c>
      <c r="F160" s="175"/>
      <c r="G160" s="175"/>
      <c r="H160" s="175"/>
      <c r="I160" s="174"/>
      <c r="J160" s="174"/>
      <c r="K160" s="174"/>
      <c r="L160" s="174"/>
      <c r="M160" s="174"/>
      <c r="N160" s="174"/>
      <c r="O160" s="174"/>
      <c r="P160" s="174"/>
      <c r="Q160" s="174"/>
      <c r="R160" s="174"/>
      <c r="S160" s="174"/>
      <c r="T160" s="174"/>
      <c r="U160" s="174"/>
      <c r="V160" s="174"/>
      <c r="W160" s="174"/>
      <c r="X160" s="174"/>
      <c r="Y160" s="174"/>
    </row>
    <row r="161" spans="1:25" x14ac:dyDescent="0.25">
      <c r="A161" s="175" t="str">
        <f>wp_hook&amp;" "&amp;4</f>
        <v>Grappling Hook 4</v>
      </c>
      <c r="B161" s="175">
        <v>1</v>
      </c>
      <c r="C161" s="175" t="e">
        <v>#N/A</v>
      </c>
      <c r="D161" s="175"/>
      <c r="E161" s="175">
        <v>1</v>
      </c>
      <c r="F161" s="175"/>
      <c r="G161" s="175"/>
      <c r="H161" s="175"/>
      <c r="I161" s="174"/>
      <c r="J161" s="174"/>
      <c r="K161" s="174"/>
      <c r="L161" s="174"/>
      <c r="M161" s="174"/>
      <c r="N161" s="174"/>
      <c r="O161" s="174"/>
      <c r="P161" s="174"/>
      <c r="Q161" s="174"/>
      <c r="R161" s="174"/>
      <c r="S161" s="174"/>
      <c r="T161" s="174"/>
      <c r="U161" s="174"/>
      <c r="V161" s="174"/>
      <c r="W161" s="174"/>
      <c r="X161" s="174"/>
      <c r="Y161" s="174"/>
    </row>
    <row r="162" spans="1:25" x14ac:dyDescent="0.25">
      <c r="A162" s="175" t="str">
        <f>wp_hook&amp;" "&amp;5</f>
        <v>Grappling Hook 5</v>
      </c>
      <c r="B162" s="175">
        <v>1</v>
      </c>
      <c r="C162" s="175" t="e">
        <v>#N/A</v>
      </c>
      <c r="D162" s="175"/>
      <c r="E162" s="175">
        <v>1</v>
      </c>
      <c r="F162" s="175"/>
      <c r="G162" s="175"/>
      <c r="H162" s="175"/>
      <c r="I162" s="174"/>
      <c r="J162" s="174"/>
      <c r="K162" s="174"/>
      <c r="L162" s="174"/>
      <c r="M162" s="174"/>
      <c r="N162" s="174"/>
      <c r="O162" s="174"/>
      <c r="P162" s="174"/>
      <c r="Q162" s="174"/>
      <c r="R162" s="174"/>
      <c r="S162" s="174"/>
      <c r="T162" s="174"/>
      <c r="U162" s="174"/>
      <c r="V162" s="174"/>
      <c r="W162" s="174"/>
      <c r="X162" s="174"/>
      <c r="Y162" s="174"/>
    </row>
    <row r="163" spans="1:25" x14ac:dyDescent="0.25">
      <c r="A163" s="175" t="str">
        <f>wp_hook&amp;" "&amp;6</f>
        <v>Grappling Hook 6</v>
      </c>
      <c r="B163" s="175">
        <v>2</v>
      </c>
      <c r="C163" s="175" t="e">
        <v>#N/A</v>
      </c>
      <c r="D163" s="175"/>
      <c r="E163" s="175">
        <v>2</v>
      </c>
      <c r="F163" s="175"/>
      <c r="G163" s="175"/>
      <c r="H163" s="175"/>
      <c r="I163" s="174"/>
      <c r="J163" s="174"/>
      <c r="K163" s="174"/>
      <c r="L163" s="174"/>
      <c r="M163" s="174"/>
      <c r="N163" s="174"/>
      <c r="O163" s="174"/>
      <c r="P163" s="174"/>
      <c r="Q163" s="174"/>
      <c r="R163" s="174"/>
      <c r="S163" s="174"/>
      <c r="T163" s="174"/>
      <c r="U163" s="174"/>
      <c r="V163" s="174"/>
      <c r="W163" s="174"/>
      <c r="X163" s="174"/>
      <c r="Y163" s="174"/>
    </row>
    <row r="164" spans="1:25" x14ac:dyDescent="0.25">
      <c r="A164" s="175" t="str">
        <f>wp_hook&amp;" "&amp;7</f>
        <v>Grappling Hook 7</v>
      </c>
      <c r="B164" s="175">
        <v>2</v>
      </c>
      <c r="C164" s="175" t="e">
        <v>#N/A</v>
      </c>
      <c r="D164" s="175"/>
      <c r="E164" s="175">
        <v>2</v>
      </c>
      <c r="F164" s="175"/>
      <c r="G164" s="175"/>
      <c r="H164" s="175"/>
      <c r="I164" s="174"/>
      <c r="J164" s="174"/>
      <c r="K164" s="174"/>
      <c r="L164" s="174"/>
      <c r="M164" s="174"/>
      <c r="N164" s="174"/>
      <c r="O164" s="174"/>
      <c r="P164" s="174"/>
      <c r="Q164" s="174"/>
      <c r="R164" s="174"/>
      <c r="S164" s="174"/>
      <c r="T164" s="174"/>
      <c r="U164" s="174"/>
      <c r="V164" s="174"/>
      <c r="W164" s="174"/>
      <c r="X164" s="174"/>
      <c r="Y164" s="174"/>
    </row>
    <row r="165" spans="1:25" x14ac:dyDescent="0.25">
      <c r="A165" s="175" t="str">
        <f>wp_hook&amp;" "&amp;8</f>
        <v>Grappling Hook 8</v>
      </c>
      <c r="B165" s="175">
        <v>2</v>
      </c>
      <c r="C165" s="175" t="e">
        <v>#N/A</v>
      </c>
      <c r="D165" s="175"/>
      <c r="E165" s="175">
        <v>2</v>
      </c>
      <c r="F165" s="175"/>
      <c r="G165" s="175"/>
      <c r="H165" s="175"/>
      <c r="I165" s="174"/>
      <c r="J165" s="174"/>
      <c r="K165" s="174"/>
      <c r="L165" s="174"/>
      <c r="M165" s="174"/>
      <c r="N165" s="174"/>
      <c r="O165" s="174"/>
      <c r="P165" s="174"/>
      <c r="Q165" s="174"/>
      <c r="R165" s="174"/>
      <c r="S165" s="174"/>
      <c r="T165" s="174"/>
      <c r="U165" s="174"/>
      <c r="V165" s="174"/>
      <c r="W165" s="174"/>
      <c r="X165" s="174"/>
      <c r="Y165" s="174"/>
    </row>
    <row r="166" spans="1:25" x14ac:dyDescent="0.25">
      <c r="A166" s="175" t="str">
        <f>wp_hook&amp;" "&amp;9</f>
        <v>Grappling Hook 9</v>
      </c>
      <c r="B166" s="175">
        <v>3</v>
      </c>
      <c r="C166" s="175" t="e">
        <v>#N/A</v>
      </c>
      <c r="D166" s="175"/>
      <c r="E166" s="175">
        <v>3</v>
      </c>
      <c r="F166" s="175"/>
      <c r="G166" s="175"/>
      <c r="H166" s="175"/>
      <c r="I166" s="174"/>
      <c r="J166" s="174"/>
      <c r="K166" s="174"/>
      <c r="L166" s="174"/>
      <c r="M166" s="174"/>
      <c r="N166" s="174"/>
      <c r="O166" s="174"/>
      <c r="P166" s="174"/>
      <c r="Q166" s="174"/>
      <c r="R166" s="174"/>
      <c r="S166" s="174"/>
      <c r="T166" s="174"/>
      <c r="U166" s="174"/>
      <c r="V166" s="174"/>
      <c r="W166" s="174"/>
      <c r="X166" s="174"/>
      <c r="Y166" s="174"/>
    </row>
    <row r="167" spans="1:25" x14ac:dyDescent="0.25">
      <c r="A167" s="175" t="str">
        <f>wp_hook&amp;" "&amp;10</f>
        <v>Grappling Hook 10</v>
      </c>
      <c r="B167" s="175">
        <v>3</v>
      </c>
      <c r="C167" s="175" t="e">
        <v>#N/A</v>
      </c>
      <c r="D167" s="175"/>
      <c r="E167" s="175">
        <v>3</v>
      </c>
      <c r="F167" s="175"/>
      <c r="G167" s="175"/>
      <c r="H167" s="175"/>
      <c r="I167" s="174"/>
      <c r="J167" s="174"/>
      <c r="K167" s="174"/>
      <c r="L167" s="174"/>
      <c r="M167" s="174"/>
      <c r="N167" s="174"/>
      <c r="O167" s="174"/>
      <c r="P167" s="174"/>
      <c r="Q167" s="174"/>
      <c r="R167" s="174"/>
      <c r="S167" s="174"/>
      <c r="T167" s="174"/>
      <c r="U167" s="174"/>
      <c r="V167" s="174"/>
      <c r="W167" s="174"/>
      <c r="X167" s="174"/>
      <c r="Y167" s="174"/>
    </row>
    <row r="168" spans="1:25" x14ac:dyDescent="0.25">
      <c r="A168" s="175" t="str">
        <f>wp_hook&amp;" "&amp;11</f>
        <v>Grappling Hook 11</v>
      </c>
      <c r="B168" s="175">
        <v>3</v>
      </c>
      <c r="C168" s="175" t="e">
        <v>#N/A</v>
      </c>
      <c r="D168" s="175"/>
      <c r="E168" s="175">
        <v>3</v>
      </c>
      <c r="F168" s="175"/>
      <c r="G168" s="175"/>
      <c r="H168" s="175"/>
      <c r="I168" s="174"/>
      <c r="J168" s="174"/>
      <c r="K168" s="174"/>
      <c r="L168" s="174"/>
      <c r="M168" s="174"/>
      <c r="N168" s="174"/>
      <c r="O168" s="174"/>
      <c r="P168" s="174"/>
      <c r="Q168" s="174"/>
      <c r="R168" s="174"/>
      <c r="S168" s="174"/>
      <c r="T168" s="174"/>
      <c r="U168" s="174"/>
      <c r="V168" s="174"/>
      <c r="W168" s="174"/>
      <c r="X168" s="174"/>
      <c r="Y168" s="174"/>
    </row>
    <row r="169" spans="1:25" x14ac:dyDescent="0.25">
      <c r="A169" s="175" t="str">
        <f>wp_hook&amp;" "&amp;12</f>
        <v>Grappling Hook 12</v>
      </c>
      <c r="B169" s="175">
        <v>4</v>
      </c>
      <c r="C169" s="175" t="e">
        <v>#N/A</v>
      </c>
      <c r="D169" s="175"/>
      <c r="E169" s="175">
        <v>4</v>
      </c>
      <c r="F169" s="175"/>
      <c r="G169" s="175"/>
      <c r="H169" s="175"/>
      <c r="I169" s="174"/>
      <c r="J169" s="174"/>
      <c r="K169" s="174"/>
      <c r="L169" s="174"/>
      <c r="M169" s="174"/>
      <c r="N169" s="174"/>
      <c r="O169" s="174"/>
      <c r="P169" s="174"/>
      <c r="Q169" s="174"/>
      <c r="R169" s="174"/>
      <c r="S169" s="174"/>
      <c r="T169" s="174"/>
      <c r="U169" s="174"/>
      <c r="V169" s="174"/>
      <c r="W169" s="174"/>
      <c r="X169" s="174"/>
      <c r="Y169" s="174"/>
    </row>
    <row r="170" spans="1:25" x14ac:dyDescent="0.25">
      <c r="A170" s="175" t="str">
        <f>wp_hook&amp;" "&amp;13</f>
        <v>Grappling Hook 13</v>
      </c>
      <c r="B170" s="175">
        <v>4</v>
      </c>
      <c r="C170" s="175" t="e">
        <v>#N/A</v>
      </c>
      <c r="D170" s="175"/>
      <c r="E170" s="175">
        <v>4</v>
      </c>
      <c r="F170" s="175"/>
      <c r="G170" s="175"/>
      <c r="H170" s="175"/>
      <c r="I170" s="174"/>
      <c r="J170" s="174"/>
      <c r="K170" s="174"/>
      <c r="L170" s="174"/>
      <c r="M170" s="174"/>
      <c r="N170" s="174"/>
      <c r="O170" s="174"/>
      <c r="P170" s="174"/>
      <c r="Q170" s="174"/>
      <c r="R170" s="174"/>
      <c r="S170" s="174"/>
      <c r="T170" s="174"/>
      <c r="U170" s="174"/>
      <c r="V170" s="174"/>
      <c r="W170" s="174"/>
      <c r="X170" s="174"/>
      <c r="Y170" s="174"/>
    </row>
    <row r="171" spans="1:25" x14ac:dyDescent="0.25">
      <c r="A171" s="175" t="str">
        <f>wp_hook&amp;" "&amp;14</f>
        <v>Grappling Hook 14</v>
      </c>
      <c r="B171" s="175">
        <v>4</v>
      </c>
      <c r="C171" s="175" t="e">
        <v>#N/A</v>
      </c>
      <c r="D171" s="175"/>
      <c r="E171" s="175">
        <v>4</v>
      </c>
      <c r="F171" s="175"/>
      <c r="G171" s="175"/>
      <c r="H171" s="175"/>
      <c r="I171" s="174"/>
      <c r="J171" s="174"/>
      <c r="K171" s="174"/>
      <c r="L171" s="174"/>
      <c r="M171" s="174"/>
      <c r="N171" s="174"/>
      <c r="O171" s="174"/>
      <c r="P171" s="174"/>
      <c r="Q171" s="174"/>
      <c r="R171" s="174"/>
      <c r="S171" s="174"/>
      <c r="T171" s="174"/>
      <c r="U171" s="174"/>
      <c r="V171" s="174"/>
      <c r="W171" s="174"/>
      <c r="X171" s="174"/>
      <c r="Y171" s="174"/>
    </row>
    <row r="172" spans="1:25" x14ac:dyDescent="0.25">
      <c r="A172" s="175" t="str">
        <f>wp_hook&amp;" "&amp;15</f>
        <v>Grappling Hook 15</v>
      </c>
      <c r="B172" s="175">
        <v>4</v>
      </c>
      <c r="C172" s="175" t="e">
        <v>#N/A</v>
      </c>
      <c r="D172" s="175"/>
      <c r="E172" s="175">
        <v>4</v>
      </c>
      <c r="F172" s="175"/>
      <c r="G172" s="175"/>
      <c r="H172" s="175"/>
      <c r="I172" s="174"/>
      <c r="J172" s="174"/>
      <c r="K172" s="174"/>
      <c r="L172" s="174"/>
      <c r="M172" s="174"/>
      <c r="N172" s="174"/>
      <c r="O172" s="174"/>
      <c r="P172" s="174"/>
      <c r="Q172" s="174"/>
      <c r="R172" s="174"/>
      <c r="S172" s="174"/>
      <c r="T172" s="174"/>
      <c r="U172" s="174"/>
      <c r="V172" s="174"/>
      <c r="W172" s="174"/>
      <c r="X172" s="174"/>
      <c r="Y172" s="174"/>
    </row>
    <row r="173" spans="1:25" x14ac:dyDescent="0.25">
      <c r="A173" s="175" t="str">
        <f>wp_knife&amp;" "&amp;1</f>
        <v>Knife 1</v>
      </c>
      <c r="B173" s="175"/>
      <c r="C173" s="175">
        <v>1</v>
      </c>
      <c r="D173" s="175">
        <v>1</v>
      </c>
      <c r="E173" s="175"/>
      <c r="F173" s="175"/>
      <c r="G173" s="175"/>
      <c r="H173" s="175"/>
      <c r="I173" s="174"/>
      <c r="J173" s="174"/>
      <c r="K173" s="174"/>
      <c r="L173" s="174"/>
      <c r="M173" s="174"/>
      <c r="N173" s="174"/>
      <c r="O173" s="174"/>
      <c r="P173" s="174"/>
      <c r="Q173" s="174"/>
      <c r="R173" s="174"/>
      <c r="S173" s="174"/>
      <c r="T173" s="174"/>
      <c r="U173" s="174"/>
      <c r="V173" s="174"/>
      <c r="W173" s="174"/>
      <c r="X173" s="174"/>
      <c r="Y173" s="174"/>
    </row>
    <row r="174" spans="1:25" x14ac:dyDescent="0.25">
      <c r="A174" s="175" t="str">
        <f>wp_knife&amp;" "&amp;2</f>
        <v>Knife 2</v>
      </c>
      <c r="B174" s="175">
        <v>1</v>
      </c>
      <c r="C174" s="175">
        <v>1</v>
      </c>
      <c r="D174" s="175">
        <v>1</v>
      </c>
      <c r="E174" s="175"/>
      <c r="F174" s="175"/>
      <c r="G174" s="175"/>
      <c r="H174" s="175"/>
      <c r="I174" s="174"/>
      <c r="J174" s="174"/>
      <c r="K174" s="174"/>
      <c r="L174" s="174"/>
      <c r="M174" s="174"/>
      <c r="N174" s="174"/>
      <c r="O174" s="174"/>
      <c r="P174" s="174"/>
      <c r="Q174" s="174"/>
      <c r="R174" s="174"/>
      <c r="S174" s="174"/>
      <c r="T174" s="174"/>
      <c r="U174" s="174"/>
      <c r="V174" s="174"/>
      <c r="W174" s="174"/>
      <c r="X174" s="174"/>
      <c r="Y174" s="174"/>
    </row>
    <row r="175" spans="1:25" x14ac:dyDescent="0.25">
      <c r="A175" s="175" t="str">
        <f>wp_knife&amp;" "&amp;3</f>
        <v>Knife 3</v>
      </c>
      <c r="B175" s="175">
        <v>1</v>
      </c>
      <c r="C175" s="175">
        <v>2</v>
      </c>
      <c r="D175" s="175">
        <v>2</v>
      </c>
      <c r="E175" s="175"/>
      <c r="F175" s="175"/>
      <c r="G175" s="175"/>
      <c r="H175" s="175"/>
      <c r="I175" s="174"/>
      <c r="J175" s="174"/>
      <c r="K175" s="174"/>
      <c r="L175" s="174"/>
      <c r="M175" s="174"/>
      <c r="N175" s="174"/>
      <c r="O175" s="174"/>
      <c r="P175" s="174"/>
      <c r="Q175" s="174"/>
      <c r="R175" s="174"/>
      <c r="S175" s="174"/>
      <c r="T175" s="174"/>
      <c r="U175" s="174"/>
      <c r="V175" s="174"/>
      <c r="W175" s="174"/>
      <c r="X175" s="174"/>
      <c r="Y175" s="174"/>
    </row>
    <row r="176" spans="1:25" x14ac:dyDescent="0.25">
      <c r="A176" s="175" t="str">
        <f>wp_knife&amp;" "&amp;4</f>
        <v>Knife 4</v>
      </c>
      <c r="B176" s="175">
        <v>2</v>
      </c>
      <c r="C176" s="175">
        <v>2</v>
      </c>
      <c r="D176" s="175">
        <v>2</v>
      </c>
      <c r="E176" s="175"/>
      <c r="F176" s="175"/>
      <c r="G176" s="175"/>
      <c r="H176" s="175"/>
      <c r="I176" s="174"/>
      <c r="J176" s="174"/>
      <c r="K176" s="174"/>
      <c r="L176" s="174"/>
      <c r="M176" s="174"/>
      <c r="N176" s="174"/>
      <c r="O176" s="174"/>
      <c r="P176" s="174"/>
      <c r="Q176" s="174"/>
      <c r="R176" s="174"/>
      <c r="S176" s="174"/>
      <c r="T176" s="174"/>
      <c r="U176" s="174"/>
      <c r="V176" s="174"/>
      <c r="W176" s="174"/>
      <c r="X176" s="174"/>
      <c r="Y176" s="174"/>
    </row>
    <row r="177" spans="1:25" x14ac:dyDescent="0.25">
      <c r="A177" s="175" t="str">
        <f>wp_knife&amp;" "&amp;5</f>
        <v>Knife 5</v>
      </c>
      <c r="B177" s="175">
        <v>2</v>
      </c>
      <c r="C177" s="175">
        <v>2</v>
      </c>
      <c r="D177" s="175">
        <v>2</v>
      </c>
      <c r="E177" s="175"/>
      <c r="F177" s="175"/>
      <c r="G177" s="175"/>
      <c r="H177" s="175"/>
      <c r="I177" s="174"/>
      <c r="J177" s="174"/>
      <c r="K177" s="174"/>
      <c r="L177" s="174"/>
      <c r="M177" s="174"/>
      <c r="N177" s="174"/>
      <c r="O177" s="174"/>
      <c r="P177" s="174"/>
      <c r="Q177" s="174"/>
      <c r="R177" s="174"/>
      <c r="S177" s="174"/>
      <c r="T177" s="174"/>
      <c r="U177" s="174"/>
      <c r="V177" s="174"/>
      <c r="W177" s="174"/>
      <c r="X177" s="174"/>
      <c r="Y177" s="174"/>
    </row>
    <row r="178" spans="1:25" x14ac:dyDescent="0.25">
      <c r="A178" s="175" t="str">
        <f>wp_knife&amp;" "&amp;6</f>
        <v>Knife 6</v>
      </c>
      <c r="B178" s="175">
        <v>2</v>
      </c>
      <c r="C178" s="175">
        <v>3</v>
      </c>
      <c r="D178" s="175">
        <v>3</v>
      </c>
      <c r="E178" s="175"/>
      <c r="F178" s="175"/>
      <c r="G178" s="175"/>
      <c r="H178" s="175"/>
      <c r="I178" s="174"/>
      <c r="J178" s="174"/>
      <c r="K178" s="174"/>
      <c r="L178" s="174"/>
      <c r="M178" s="174"/>
      <c r="N178" s="174"/>
      <c r="O178" s="174"/>
      <c r="P178" s="174"/>
      <c r="Q178" s="174"/>
      <c r="R178" s="174"/>
      <c r="S178" s="174"/>
      <c r="T178" s="174"/>
      <c r="U178" s="174"/>
      <c r="V178" s="174"/>
      <c r="W178" s="174"/>
      <c r="X178" s="174"/>
      <c r="Y178" s="174"/>
    </row>
    <row r="179" spans="1:25" x14ac:dyDescent="0.25">
      <c r="A179" s="175" t="str">
        <f>wp_knife&amp;" "&amp;7</f>
        <v>Knife 7</v>
      </c>
      <c r="B179" s="175">
        <v>3</v>
      </c>
      <c r="C179" s="175">
        <v>3</v>
      </c>
      <c r="D179" s="175">
        <v>3</v>
      </c>
      <c r="E179" s="175"/>
      <c r="F179" s="175"/>
      <c r="G179" s="175"/>
      <c r="H179" s="175"/>
      <c r="I179" s="174"/>
      <c r="J179" s="174"/>
      <c r="K179" s="174"/>
      <c r="L179" s="174"/>
      <c r="M179" s="174"/>
      <c r="N179" s="174"/>
      <c r="O179" s="174"/>
      <c r="P179" s="174"/>
      <c r="Q179" s="174"/>
      <c r="R179" s="174"/>
      <c r="S179" s="174"/>
      <c r="T179" s="174"/>
      <c r="U179" s="174"/>
      <c r="V179" s="174"/>
      <c r="W179" s="174"/>
      <c r="X179" s="174"/>
      <c r="Y179" s="174"/>
    </row>
    <row r="180" spans="1:25" x14ac:dyDescent="0.25">
      <c r="A180" s="175" t="str">
        <f>wp_knife&amp;" "&amp;8</f>
        <v>Knife 8</v>
      </c>
      <c r="B180" s="175">
        <v>3</v>
      </c>
      <c r="C180" s="175">
        <v>3</v>
      </c>
      <c r="D180" s="175">
        <v>4</v>
      </c>
      <c r="E180" s="175"/>
      <c r="F180" s="175"/>
      <c r="G180" s="175"/>
      <c r="H180" s="175"/>
      <c r="I180" s="174"/>
      <c r="J180" s="174"/>
      <c r="K180" s="174"/>
      <c r="L180" s="174"/>
      <c r="M180" s="174"/>
      <c r="N180" s="174"/>
      <c r="O180" s="174"/>
      <c r="P180" s="174"/>
      <c r="Q180" s="174"/>
      <c r="R180" s="174"/>
      <c r="S180" s="174"/>
      <c r="T180" s="174"/>
      <c r="U180" s="174"/>
      <c r="V180" s="174"/>
      <c r="W180" s="174"/>
      <c r="X180" s="174"/>
      <c r="Y180" s="174"/>
    </row>
    <row r="181" spans="1:25" x14ac:dyDescent="0.25">
      <c r="A181" s="175" t="str">
        <f>wp_knife&amp;" "&amp;9</f>
        <v>Knife 9</v>
      </c>
      <c r="B181" s="175">
        <v>3</v>
      </c>
      <c r="C181" s="175">
        <v>4</v>
      </c>
      <c r="D181" s="175">
        <v>4</v>
      </c>
      <c r="E181" s="175"/>
      <c r="F181" s="175"/>
      <c r="G181" s="175"/>
      <c r="H181" s="175"/>
      <c r="I181" s="174"/>
      <c r="J181" s="174"/>
      <c r="K181" s="174"/>
      <c r="L181" s="174"/>
      <c r="M181" s="174"/>
      <c r="N181" s="174"/>
      <c r="O181" s="174"/>
      <c r="P181" s="174"/>
      <c r="Q181" s="174"/>
      <c r="R181" s="174"/>
      <c r="S181" s="174"/>
      <c r="T181" s="174"/>
      <c r="U181" s="174"/>
      <c r="V181" s="174"/>
      <c r="W181" s="174"/>
      <c r="X181" s="174"/>
      <c r="Y181" s="174"/>
    </row>
    <row r="182" spans="1:25" x14ac:dyDescent="0.25">
      <c r="A182" s="175" t="str">
        <f>wp_knife&amp;" "&amp;10</f>
        <v>Knife 10</v>
      </c>
      <c r="B182" s="175">
        <v>4</v>
      </c>
      <c r="C182" s="175">
        <v>4</v>
      </c>
      <c r="D182" s="175">
        <v>5</v>
      </c>
      <c r="E182" s="175"/>
      <c r="F182" s="175"/>
      <c r="G182" s="175"/>
      <c r="H182" s="175"/>
      <c r="I182" s="174"/>
      <c r="J182" s="174"/>
      <c r="K182" s="174"/>
      <c r="L182" s="174"/>
      <c r="M182" s="174"/>
      <c r="N182" s="174"/>
      <c r="O182" s="174"/>
      <c r="P182" s="174"/>
      <c r="Q182" s="174"/>
      <c r="R182" s="174"/>
      <c r="S182" s="174"/>
      <c r="T182" s="174"/>
      <c r="U182" s="174"/>
      <c r="V182" s="174"/>
      <c r="W182" s="174"/>
      <c r="X182" s="174"/>
      <c r="Y182" s="174"/>
    </row>
    <row r="183" spans="1:25" x14ac:dyDescent="0.25">
      <c r="A183" s="175" t="str">
        <f>wp_knife&amp;" "&amp;11</f>
        <v>Knife 11</v>
      </c>
      <c r="B183" s="175">
        <v>4</v>
      </c>
      <c r="C183" s="175">
        <v>4</v>
      </c>
      <c r="D183" s="175">
        <v>5</v>
      </c>
      <c r="E183" s="175"/>
      <c r="F183" s="175"/>
      <c r="G183" s="175"/>
      <c r="H183" s="175"/>
      <c r="I183" s="174"/>
      <c r="J183" s="174"/>
      <c r="K183" s="174"/>
      <c r="L183" s="174"/>
      <c r="M183" s="174"/>
      <c r="N183" s="174"/>
      <c r="O183" s="174"/>
      <c r="P183" s="174"/>
      <c r="Q183" s="174"/>
      <c r="R183" s="174"/>
      <c r="S183" s="174"/>
      <c r="T183" s="174"/>
      <c r="U183" s="174"/>
      <c r="V183" s="174"/>
      <c r="W183" s="174"/>
      <c r="X183" s="174"/>
      <c r="Y183" s="174"/>
    </row>
    <row r="184" spans="1:25" x14ac:dyDescent="0.25">
      <c r="A184" s="175" t="str">
        <f>wp_knife&amp;" "&amp;12</f>
        <v>Knife 12</v>
      </c>
      <c r="B184" s="175">
        <v>4</v>
      </c>
      <c r="C184" s="175">
        <v>5</v>
      </c>
      <c r="D184" s="175">
        <v>5</v>
      </c>
      <c r="E184" s="175"/>
      <c r="F184" s="175"/>
      <c r="G184" s="175"/>
      <c r="H184" s="175"/>
      <c r="I184" s="174"/>
      <c r="J184" s="174"/>
      <c r="K184" s="174"/>
      <c r="L184" s="174"/>
      <c r="M184" s="174"/>
      <c r="N184" s="174"/>
      <c r="O184" s="174"/>
      <c r="P184" s="174"/>
      <c r="Q184" s="174"/>
      <c r="R184" s="174"/>
      <c r="S184" s="174"/>
      <c r="T184" s="174"/>
      <c r="U184" s="174"/>
      <c r="V184" s="174"/>
      <c r="W184" s="174"/>
      <c r="X184" s="174"/>
      <c r="Y184" s="174"/>
    </row>
    <row r="185" spans="1:25" x14ac:dyDescent="0.25">
      <c r="A185" s="175" t="str">
        <f>wp_knife&amp;" "&amp;13</f>
        <v>Knife 13</v>
      </c>
      <c r="B185" s="175">
        <v>5</v>
      </c>
      <c r="C185" s="175">
        <v>5</v>
      </c>
      <c r="D185" s="175">
        <v>6</v>
      </c>
      <c r="E185" s="175"/>
      <c r="F185" s="175"/>
      <c r="G185" s="175"/>
      <c r="H185" s="175"/>
      <c r="I185" s="174"/>
      <c r="J185" s="174"/>
      <c r="K185" s="174"/>
      <c r="L185" s="174"/>
      <c r="M185" s="174"/>
      <c r="N185" s="174"/>
      <c r="O185" s="174"/>
      <c r="P185" s="174"/>
      <c r="Q185" s="174"/>
      <c r="R185" s="174"/>
      <c r="S185" s="174"/>
      <c r="T185" s="174"/>
      <c r="U185" s="174"/>
      <c r="V185" s="174"/>
      <c r="W185" s="174"/>
      <c r="X185" s="174"/>
      <c r="Y185" s="174"/>
    </row>
    <row r="186" spans="1:25" x14ac:dyDescent="0.25">
      <c r="A186" s="175" t="str">
        <f>wp_knife&amp;" "&amp;14</f>
        <v>Knife 14</v>
      </c>
      <c r="B186" s="175">
        <v>5</v>
      </c>
      <c r="C186" s="175">
        <v>5</v>
      </c>
      <c r="D186" s="175">
        <v>6</v>
      </c>
      <c r="E186" s="175"/>
      <c r="F186" s="175"/>
      <c r="G186" s="175"/>
      <c r="H186" s="175"/>
      <c r="I186" s="174"/>
      <c r="J186" s="174"/>
      <c r="K186" s="174"/>
      <c r="L186" s="174"/>
      <c r="M186" s="174"/>
      <c r="N186" s="174"/>
      <c r="O186" s="174"/>
      <c r="P186" s="174"/>
      <c r="Q186" s="174"/>
      <c r="R186" s="174"/>
      <c r="S186" s="174"/>
      <c r="T186" s="174"/>
      <c r="U186" s="174"/>
      <c r="V186" s="174"/>
      <c r="W186" s="174"/>
      <c r="X186" s="174"/>
      <c r="Y186" s="174"/>
    </row>
    <row r="187" spans="1:25" x14ac:dyDescent="0.25">
      <c r="A187" s="175" t="str">
        <f>wp_knife&amp;" "&amp;15</f>
        <v>Knife 15</v>
      </c>
      <c r="B187" s="175">
        <v>5</v>
      </c>
      <c r="C187" s="175">
        <v>5</v>
      </c>
      <c r="D187" s="175">
        <v>6</v>
      </c>
      <c r="E187" s="175"/>
      <c r="F187" s="175"/>
      <c r="G187" s="175"/>
      <c r="H187" s="175"/>
      <c r="I187" s="174"/>
      <c r="J187" s="174"/>
      <c r="K187" s="174"/>
      <c r="L187" s="174"/>
      <c r="M187" s="174"/>
      <c r="N187" s="174"/>
      <c r="O187" s="174"/>
      <c r="P187" s="174"/>
      <c r="Q187" s="174"/>
      <c r="R187" s="174"/>
      <c r="S187" s="174"/>
      <c r="T187" s="174"/>
      <c r="U187" s="174"/>
      <c r="V187" s="174"/>
      <c r="W187" s="174"/>
      <c r="X187" s="174"/>
      <c r="Y187" s="174"/>
    </row>
    <row r="188" spans="1:25" x14ac:dyDescent="0.25">
      <c r="A188" s="175" t="str">
        <f>wp_mouth&amp;" "&amp;1</f>
        <v>Mouth Weapons/Blowguns 1</v>
      </c>
      <c r="B188" s="175">
        <v>1</v>
      </c>
      <c r="C188" s="175"/>
      <c r="D188" s="175"/>
      <c r="E188" s="175"/>
      <c r="F188" s="175"/>
      <c r="G188" s="175"/>
      <c r="H188" s="175"/>
      <c r="I188" s="174"/>
      <c r="J188" s="174"/>
      <c r="K188" s="174"/>
      <c r="L188" s="174"/>
      <c r="M188" s="174"/>
      <c r="N188" s="174"/>
      <c r="O188" s="174"/>
      <c r="P188" s="174"/>
      <c r="Q188" s="174"/>
      <c r="R188" s="174"/>
      <c r="S188" s="174"/>
      <c r="T188" s="174"/>
      <c r="U188" s="174"/>
      <c r="V188" s="174"/>
      <c r="W188" s="174"/>
      <c r="X188" s="174"/>
      <c r="Y188" s="174"/>
    </row>
    <row r="189" spans="1:25" x14ac:dyDescent="0.25">
      <c r="A189" s="175" t="str">
        <f>wp_mouth&amp;" "&amp;2</f>
        <v>Mouth Weapons/Blowguns 2</v>
      </c>
      <c r="B189" s="175">
        <v>1</v>
      </c>
      <c r="C189" s="175"/>
      <c r="D189" s="175"/>
      <c r="E189" s="175"/>
      <c r="F189" s="175"/>
      <c r="G189" s="175"/>
      <c r="H189" s="175"/>
      <c r="I189" s="174"/>
      <c r="J189" s="174"/>
      <c r="K189" s="174"/>
      <c r="L189" s="174"/>
      <c r="M189" s="174"/>
      <c r="N189" s="174"/>
      <c r="O189" s="174"/>
      <c r="P189" s="174"/>
      <c r="Q189" s="174"/>
      <c r="R189" s="174"/>
      <c r="S189" s="174"/>
      <c r="T189" s="174"/>
      <c r="U189" s="174"/>
      <c r="V189" s="174"/>
      <c r="W189" s="174"/>
      <c r="X189" s="174"/>
      <c r="Y189" s="174"/>
    </row>
    <row r="190" spans="1:25" x14ac:dyDescent="0.25">
      <c r="A190" s="175" t="str">
        <f>wp_mouth&amp;" "&amp;3</f>
        <v>Mouth Weapons/Blowguns 3</v>
      </c>
      <c r="B190" s="175">
        <v>1</v>
      </c>
      <c r="C190" s="175"/>
      <c r="D190" s="175"/>
      <c r="E190" s="175"/>
      <c r="F190" s="175"/>
      <c r="G190" s="175"/>
      <c r="H190" s="175"/>
      <c r="I190" s="174"/>
      <c r="J190" s="174"/>
      <c r="K190" s="174"/>
      <c r="L190" s="174"/>
      <c r="M190" s="174"/>
      <c r="N190" s="174"/>
      <c r="O190" s="174"/>
      <c r="P190" s="174"/>
      <c r="Q190" s="174"/>
      <c r="R190" s="174"/>
      <c r="S190" s="174"/>
      <c r="T190" s="174"/>
      <c r="U190" s="174"/>
      <c r="V190" s="174"/>
      <c r="W190" s="174"/>
      <c r="X190" s="174"/>
      <c r="Y190" s="174"/>
    </row>
    <row r="191" spans="1:25" x14ac:dyDescent="0.25">
      <c r="A191" s="175" t="str">
        <f>wp_mouth&amp;" "&amp;4</f>
        <v>Mouth Weapons/Blowguns 4</v>
      </c>
      <c r="B191" s="175">
        <v>2</v>
      </c>
      <c r="C191" s="175"/>
      <c r="D191" s="175"/>
      <c r="E191" s="175"/>
      <c r="F191" s="175"/>
      <c r="G191" s="175"/>
      <c r="H191" s="175"/>
      <c r="I191" s="174"/>
      <c r="J191" s="174"/>
      <c r="K191" s="174"/>
      <c r="L191" s="174"/>
      <c r="M191" s="174"/>
      <c r="N191" s="174"/>
      <c r="O191" s="174"/>
      <c r="P191" s="174"/>
      <c r="Q191" s="174"/>
      <c r="R191" s="174"/>
      <c r="S191" s="174"/>
      <c r="T191" s="174"/>
      <c r="U191" s="174"/>
      <c r="V191" s="174"/>
      <c r="W191" s="174"/>
      <c r="X191" s="174"/>
      <c r="Y191" s="174"/>
    </row>
    <row r="192" spans="1:25" x14ac:dyDescent="0.25">
      <c r="A192" s="175" t="str">
        <f>wp_mouth&amp;" "&amp;5</f>
        <v>Mouth Weapons/Blowguns 5</v>
      </c>
      <c r="B192" s="175">
        <v>2</v>
      </c>
      <c r="C192" s="175"/>
      <c r="D192" s="175"/>
      <c r="E192" s="175"/>
      <c r="F192" s="175"/>
      <c r="G192" s="175"/>
      <c r="H192" s="175"/>
      <c r="I192" s="174"/>
      <c r="J192" s="174"/>
      <c r="K192" s="174"/>
      <c r="L192" s="174"/>
      <c r="M192" s="174"/>
      <c r="N192" s="174"/>
      <c r="O192" s="174"/>
      <c r="P192" s="174"/>
      <c r="Q192" s="174"/>
      <c r="R192" s="174"/>
      <c r="S192" s="174"/>
      <c r="T192" s="174"/>
      <c r="U192" s="174"/>
      <c r="V192" s="174"/>
      <c r="W192" s="174"/>
      <c r="X192" s="174"/>
      <c r="Y192" s="174"/>
    </row>
    <row r="193" spans="1:25" x14ac:dyDescent="0.25">
      <c r="A193" s="175" t="str">
        <f>wp_mouth&amp;" "&amp;6</f>
        <v>Mouth Weapons/Blowguns 6</v>
      </c>
      <c r="B193" s="175">
        <v>2</v>
      </c>
      <c r="C193" s="175"/>
      <c r="D193" s="175"/>
      <c r="E193" s="175"/>
      <c r="F193" s="175"/>
      <c r="G193" s="175"/>
      <c r="H193" s="175"/>
      <c r="I193" s="174"/>
      <c r="J193" s="174"/>
      <c r="K193" s="174"/>
      <c r="L193" s="174"/>
      <c r="M193" s="174"/>
      <c r="N193" s="174"/>
      <c r="O193" s="174"/>
      <c r="P193" s="174"/>
      <c r="Q193" s="174"/>
      <c r="R193" s="174"/>
      <c r="S193" s="174"/>
      <c r="T193" s="174"/>
      <c r="U193" s="174"/>
      <c r="V193" s="174"/>
      <c r="W193" s="174"/>
      <c r="X193" s="174"/>
      <c r="Y193" s="174"/>
    </row>
    <row r="194" spans="1:25" x14ac:dyDescent="0.25">
      <c r="A194" s="175" t="str">
        <f>wp_mouth&amp;" "&amp;7</f>
        <v>Mouth Weapons/Blowguns 7</v>
      </c>
      <c r="B194" s="175">
        <v>2</v>
      </c>
      <c r="C194" s="175"/>
      <c r="D194" s="175"/>
      <c r="E194" s="175"/>
      <c r="F194" s="175"/>
      <c r="G194" s="175"/>
      <c r="H194" s="175"/>
      <c r="I194" s="174"/>
      <c r="J194" s="174"/>
      <c r="K194" s="174"/>
      <c r="L194" s="174"/>
      <c r="M194" s="174"/>
      <c r="N194" s="174"/>
      <c r="O194" s="174"/>
      <c r="P194" s="174"/>
      <c r="Q194" s="174"/>
      <c r="R194" s="174"/>
      <c r="S194" s="174"/>
      <c r="T194" s="174"/>
      <c r="U194" s="174"/>
      <c r="V194" s="174"/>
      <c r="W194" s="174"/>
      <c r="X194" s="174"/>
      <c r="Y194" s="174"/>
    </row>
    <row r="195" spans="1:25" x14ac:dyDescent="0.25">
      <c r="A195" s="175" t="str">
        <f>wp_mouth&amp;" "&amp;8</f>
        <v>Mouth Weapons/Blowguns 8</v>
      </c>
      <c r="B195" s="175">
        <v>3</v>
      </c>
      <c r="C195" s="175"/>
      <c r="D195" s="175"/>
      <c r="E195" s="175"/>
      <c r="F195" s="175"/>
      <c r="G195" s="175"/>
      <c r="H195" s="175"/>
      <c r="I195" s="174"/>
      <c r="J195" s="174"/>
      <c r="K195" s="174"/>
      <c r="L195" s="174"/>
      <c r="M195" s="174"/>
      <c r="N195" s="174"/>
      <c r="O195" s="174"/>
      <c r="P195" s="174"/>
      <c r="Q195" s="174"/>
      <c r="R195" s="174"/>
      <c r="S195" s="174"/>
      <c r="T195" s="174"/>
      <c r="U195" s="174"/>
      <c r="V195" s="174"/>
      <c r="W195" s="174"/>
      <c r="X195" s="174"/>
      <c r="Y195" s="174"/>
    </row>
    <row r="196" spans="1:25" x14ac:dyDescent="0.25">
      <c r="A196" s="175" t="str">
        <f>wp_mouth&amp;" "&amp;9</f>
        <v>Mouth Weapons/Blowguns 9</v>
      </c>
      <c r="B196" s="175">
        <v>3</v>
      </c>
      <c r="C196" s="175"/>
      <c r="D196" s="175"/>
      <c r="E196" s="175"/>
      <c r="F196" s="175"/>
      <c r="G196" s="175"/>
      <c r="H196" s="175"/>
      <c r="I196" s="174"/>
      <c r="J196" s="174"/>
      <c r="K196" s="174"/>
      <c r="L196" s="174"/>
      <c r="M196" s="174"/>
      <c r="N196" s="174"/>
      <c r="O196" s="174"/>
      <c r="P196" s="174"/>
      <c r="Q196" s="174"/>
      <c r="R196" s="174"/>
      <c r="S196" s="174"/>
      <c r="T196" s="174"/>
      <c r="U196" s="174"/>
      <c r="V196" s="174"/>
      <c r="W196" s="174"/>
      <c r="X196" s="174"/>
      <c r="Y196" s="174"/>
    </row>
    <row r="197" spans="1:25" x14ac:dyDescent="0.25">
      <c r="A197" s="175" t="str">
        <f>wp_mouth&amp;" "&amp;10</f>
        <v>Mouth Weapons/Blowguns 10</v>
      </c>
      <c r="B197" s="175">
        <v>3</v>
      </c>
      <c r="C197" s="175"/>
      <c r="D197" s="175"/>
      <c r="E197" s="175"/>
      <c r="F197" s="175"/>
      <c r="G197" s="175"/>
      <c r="H197" s="175"/>
      <c r="I197" s="174"/>
      <c r="J197" s="174"/>
      <c r="K197" s="174"/>
      <c r="L197" s="174"/>
      <c r="M197" s="174"/>
      <c r="N197" s="174"/>
      <c r="O197" s="174"/>
      <c r="P197" s="174"/>
      <c r="Q197" s="174"/>
      <c r="R197" s="174"/>
      <c r="S197" s="174"/>
      <c r="T197" s="174"/>
      <c r="U197" s="174"/>
      <c r="V197" s="174"/>
      <c r="W197" s="174"/>
      <c r="X197" s="174"/>
      <c r="Y197" s="174"/>
    </row>
    <row r="198" spans="1:25" x14ac:dyDescent="0.25">
      <c r="A198" s="175" t="str">
        <f>wp_mouth&amp;" "&amp;11</f>
        <v>Mouth Weapons/Blowguns 11</v>
      </c>
      <c r="B198" s="175">
        <v>3</v>
      </c>
      <c r="C198" s="175"/>
      <c r="D198" s="175"/>
      <c r="E198" s="175"/>
      <c r="F198" s="175"/>
      <c r="G198" s="175"/>
      <c r="H198" s="175"/>
      <c r="I198" s="174"/>
      <c r="J198" s="174"/>
      <c r="K198" s="174"/>
      <c r="L198" s="174"/>
      <c r="M198" s="174"/>
      <c r="N198" s="174"/>
      <c r="O198" s="174"/>
      <c r="P198" s="174"/>
      <c r="Q198" s="174"/>
      <c r="R198" s="174"/>
      <c r="S198" s="174"/>
      <c r="T198" s="174"/>
      <c r="U198" s="174"/>
      <c r="V198" s="174"/>
      <c r="W198" s="174"/>
      <c r="X198" s="174"/>
      <c r="Y198" s="174"/>
    </row>
    <row r="199" spans="1:25" x14ac:dyDescent="0.25">
      <c r="A199" s="175" t="str">
        <f>wp_mouth&amp;" "&amp;12</f>
        <v>Mouth Weapons/Blowguns 12</v>
      </c>
      <c r="B199" s="175">
        <v>4</v>
      </c>
      <c r="C199" s="175"/>
      <c r="D199" s="175"/>
      <c r="E199" s="175"/>
      <c r="F199" s="175"/>
      <c r="G199" s="175"/>
      <c r="H199" s="175"/>
      <c r="I199" s="174"/>
      <c r="J199" s="174"/>
      <c r="K199" s="174"/>
      <c r="L199" s="174"/>
      <c r="M199" s="174"/>
      <c r="N199" s="174"/>
      <c r="O199" s="174"/>
      <c r="P199" s="174"/>
      <c r="Q199" s="174"/>
      <c r="R199" s="174"/>
      <c r="S199" s="174"/>
      <c r="T199" s="174"/>
      <c r="U199" s="174"/>
      <c r="V199" s="174"/>
      <c r="W199" s="174"/>
      <c r="X199" s="174"/>
      <c r="Y199" s="174"/>
    </row>
    <row r="200" spans="1:25" x14ac:dyDescent="0.25">
      <c r="A200" s="175" t="str">
        <f>wp_mouth&amp;" "&amp;13</f>
        <v>Mouth Weapons/Blowguns 13</v>
      </c>
      <c r="B200" s="175">
        <v>4</v>
      </c>
      <c r="C200" s="175"/>
      <c r="D200" s="175"/>
      <c r="E200" s="175"/>
      <c r="F200" s="175"/>
      <c r="G200" s="175"/>
      <c r="H200" s="175"/>
      <c r="I200" s="174"/>
      <c r="J200" s="174"/>
      <c r="K200" s="174"/>
      <c r="L200" s="174"/>
      <c r="M200" s="174"/>
      <c r="N200" s="174"/>
      <c r="O200" s="174"/>
      <c r="P200" s="174"/>
      <c r="Q200" s="174"/>
      <c r="R200" s="174"/>
      <c r="S200" s="174"/>
      <c r="T200" s="174"/>
      <c r="U200" s="174"/>
      <c r="V200" s="174"/>
      <c r="W200" s="174"/>
      <c r="X200" s="174"/>
      <c r="Y200" s="174"/>
    </row>
    <row r="201" spans="1:25" x14ac:dyDescent="0.25">
      <c r="A201" s="175" t="str">
        <f>wp_mouth&amp;" "&amp;14</f>
        <v>Mouth Weapons/Blowguns 14</v>
      </c>
      <c r="B201" s="175">
        <v>4</v>
      </c>
      <c r="C201" s="175"/>
      <c r="D201" s="175"/>
      <c r="E201" s="175"/>
      <c r="F201" s="175"/>
      <c r="G201" s="175"/>
      <c r="H201" s="175"/>
      <c r="I201" s="174"/>
      <c r="J201" s="174"/>
      <c r="K201" s="174"/>
      <c r="L201" s="174"/>
      <c r="M201" s="174"/>
      <c r="N201" s="174"/>
      <c r="O201" s="174"/>
      <c r="P201" s="174"/>
      <c r="Q201" s="174"/>
      <c r="R201" s="174"/>
      <c r="S201" s="174"/>
      <c r="T201" s="174"/>
      <c r="U201" s="174"/>
      <c r="V201" s="174"/>
      <c r="W201" s="174"/>
      <c r="X201" s="174"/>
      <c r="Y201" s="174"/>
    </row>
    <row r="202" spans="1:25" x14ac:dyDescent="0.25">
      <c r="A202" s="175" t="str">
        <f>wp_mouth&amp;" "&amp;15</f>
        <v>Mouth Weapons/Blowguns 15</v>
      </c>
      <c r="B202" s="175">
        <v>4</v>
      </c>
      <c r="C202" s="175"/>
      <c r="D202" s="175"/>
      <c r="E202" s="175"/>
      <c r="F202" s="175"/>
      <c r="G202" s="175"/>
      <c r="H202" s="175"/>
      <c r="I202" s="174"/>
      <c r="J202" s="174"/>
      <c r="K202" s="174"/>
      <c r="L202" s="174"/>
      <c r="M202" s="174"/>
      <c r="N202" s="174"/>
      <c r="O202" s="174"/>
      <c r="P202" s="174"/>
      <c r="Q202" s="174"/>
      <c r="R202" s="174"/>
      <c r="S202" s="174"/>
      <c r="T202" s="174"/>
      <c r="U202" s="174"/>
      <c r="V202" s="174"/>
      <c r="W202" s="174"/>
      <c r="X202" s="174"/>
      <c r="Y202" s="174"/>
    </row>
    <row r="203" spans="1:25" x14ac:dyDescent="0.25">
      <c r="A203" s="175" t="str">
        <f>wp_net&amp;" "&amp;1</f>
        <v>Net 1</v>
      </c>
      <c r="B203" s="175"/>
      <c r="C203" s="175"/>
      <c r="D203" s="175"/>
      <c r="E203" s="175"/>
      <c r="F203" s="175"/>
      <c r="G203" s="175"/>
      <c r="H203" s="175"/>
      <c r="I203" s="174"/>
      <c r="J203" s="174"/>
      <c r="K203" s="174"/>
      <c r="L203" s="174"/>
      <c r="M203" s="174"/>
      <c r="N203" s="174"/>
      <c r="O203" s="174"/>
      <c r="P203" s="174"/>
      <c r="Q203" s="174"/>
      <c r="R203" s="174"/>
      <c r="S203" s="174"/>
      <c r="T203" s="174"/>
      <c r="U203" s="174"/>
      <c r="V203" s="174"/>
      <c r="W203" s="174"/>
      <c r="X203" s="174"/>
      <c r="Y203" s="174"/>
    </row>
    <row r="204" spans="1:25" x14ac:dyDescent="0.25">
      <c r="A204" s="175" t="str">
        <f>wp_net&amp;" "&amp;2</f>
        <v>Net 2</v>
      </c>
      <c r="B204" s="175">
        <v>1</v>
      </c>
      <c r="C204" s="175">
        <v>1</v>
      </c>
      <c r="D204" s="175"/>
      <c r="E204" s="175">
        <v>1</v>
      </c>
      <c r="F204" s="175"/>
      <c r="G204" s="175"/>
      <c r="H204" s="175"/>
      <c r="I204" s="174"/>
      <c r="J204" s="174"/>
      <c r="K204" s="174"/>
      <c r="L204" s="174"/>
      <c r="M204" s="174"/>
      <c r="N204" s="174"/>
      <c r="O204" s="174"/>
      <c r="P204" s="174"/>
      <c r="Q204" s="174"/>
      <c r="R204" s="174"/>
      <c r="S204" s="174"/>
      <c r="T204" s="174"/>
      <c r="U204" s="174"/>
      <c r="V204" s="174"/>
      <c r="W204" s="174"/>
      <c r="X204" s="174"/>
      <c r="Y204" s="174"/>
    </row>
    <row r="205" spans="1:25" x14ac:dyDescent="0.25">
      <c r="A205" s="175" t="str">
        <f>wp_net&amp;" "&amp;3</f>
        <v>Net 3</v>
      </c>
      <c r="B205" s="175">
        <v>1</v>
      </c>
      <c r="C205" s="175">
        <v>1</v>
      </c>
      <c r="D205" s="175"/>
      <c r="E205" s="175">
        <v>1</v>
      </c>
      <c r="F205" s="175"/>
      <c r="G205" s="175"/>
      <c r="H205" s="175"/>
      <c r="I205" s="174"/>
      <c r="J205" s="174"/>
      <c r="K205" s="174"/>
      <c r="L205" s="174"/>
      <c r="M205" s="174"/>
      <c r="N205" s="174"/>
      <c r="O205" s="174"/>
      <c r="P205" s="174"/>
      <c r="Q205" s="174"/>
      <c r="R205" s="174"/>
      <c r="S205" s="174"/>
      <c r="T205" s="174"/>
      <c r="U205" s="174"/>
      <c r="V205" s="174"/>
      <c r="W205" s="174"/>
      <c r="X205" s="174"/>
      <c r="Y205" s="174"/>
    </row>
    <row r="206" spans="1:25" x14ac:dyDescent="0.25">
      <c r="A206" s="175" t="str">
        <f>wp_net&amp;" "&amp;4</f>
        <v>Net 4</v>
      </c>
      <c r="B206" s="175">
        <v>1</v>
      </c>
      <c r="C206" s="175">
        <v>2</v>
      </c>
      <c r="D206" s="175"/>
      <c r="E206" s="175">
        <v>1</v>
      </c>
      <c r="F206" s="175"/>
      <c r="G206" s="175"/>
      <c r="H206" s="175"/>
      <c r="I206" s="174"/>
      <c r="J206" s="174"/>
      <c r="K206" s="174"/>
      <c r="L206" s="174"/>
      <c r="M206" s="174"/>
      <c r="N206" s="174"/>
      <c r="O206" s="174"/>
      <c r="P206" s="174"/>
      <c r="Q206" s="174"/>
      <c r="R206" s="174"/>
      <c r="S206" s="174"/>
      <c r="T206" s="174"/>
      <c r="U206" s="174"/>
      <c r="V206" s="174"/>
      <c r="W206" s="174"/>
      <c r="X206" s="174"/>
      <c r="Y206" s="174"/>
    </row>
    <row r="207" spans="1:25" x14ac:dyDescent="0.25">
      <c r="A207" s="175" t="str">
        <f>wp_net&amp;" "&amp;5</f>
        <v>Net 5</v>
      </c>
      <c r="B207" s="175">
        <v>2</v>
      </c>
      <c r="C207" s="175">
        <v>2</v>
      </c>
      <c r="D207" s="175"/>
      <c r="E207" s="175">
        <v>2</v>
      </c>
      <c r="F207" s="175"/>
      <c r="G207" s="175"/>
      <c r="H207" s="175"/>
      <c r="I207" s="174"/>
      <c r="J207" s="174"/>
      <c r="K207" s="174"/>
      <c r="L207" s="174"/>
      <c r="M207" s="174"/>
      <c r="N207" s="174"/>
      <c r="O207" s="174"/>
      <c r="P207" s="174"/>
      <c r="Q207" s="174"/>
      <c r="R207" s="174"/>
      <c r="S207" s="174"/>
      <c r="T207" s="174"/>
      <c r="U207" s="174"/>
      <c r="V207" s="174"/>
      <c r="W207" s="174"/>
      <c r="X207" s="174"/>
      <c r="Y207" s="174"/>
    </row>
    <row r="208" spans="1:25" x14ac:dyDescent="0.25">
      <c r="A208" s="175" t="str">
        <f>wp_net&amp;" "&amp;6</f>
        <v>Net 6</v>
      </c>
      <c r="B208" s="175">
        <v>2</v>
      </c>
      <c r="C208" s="175">
        <v>3</v>
      </c>
      <c r="D208" s="175"/>
      <c r="E208" s="175">
        <v>2</v>
      </c>
      <c r="F208" s="175"/>
      <c r="G208" s="175"/>
      <c r="H208" s="175"/>
      <c r="I208" s="174"/>
      <c r="J208" s="174"/>
      <c r="K208" s="174"/>
      <c r="L208" s="174"/>
      <c r="M208" s="174"/>
      <c r="N208" s="174"/>
      <c r="O208" s="174"/>
      <c r="P208" s="174"/>
      <c r="Q208" s="174"/>
      <c r="R208" s="174"/>
      <c r="S208" s="174"/>
      <c r="T208" s="174"/>
      <c r="U208" s="174"/>
      <c r="V208" s="174"/>
      <c r="W208" s="174"/>
      <c r="X208" s="174"/>
      <c r="Y208" s="174"/>
    </row>
    <row r="209" spans="1:25" x14ac:dyDescent="0.25">
      <c r="A209" s="175" t="str">
        <f>wp_net&amp;" "&amp;7</f>
        <v>Net 7</v>
      </c>
      <c r="B209" s="175">
        <v>2</v>
      </c>
      <c r="C209" s="175">
        <v>3</v>
      </c>
      <c r="D209" s="175"/>
      <c r="E209" s="175">
        <v>2</v>
      </c>
      <c r="F209" s="175"/>
      <c r="G209" s="175"/>
      <c r="H209" s="175"/>
      <c r="I209" s="174"/>
      <c r="J209" s="174"/>
      <c r="K209" s="174"/>
      <c r="L209" s="174"/>
      <c r="M209" s="174"/>
      <c r="N209" s="174"/>
      <c r="O209" s="174"/>
      <c r="P209" s="174"/>
      <c r="Q209" s="174"/>
      <c r="R209" s="174"/>
      <c r="S209" s="174"/>
      <c r="T209" s="174"/>
      <c r="U209" s="174"/>
      <c r="V209" s="174"/>
      <c r="W209" s="174"/>
      <c r="X209" s="174"/>
      <c r="Y209" s="174"/>
    </row>
    <row r="210" spans="1:25" x14ac:dyDescent="0.25">
      <c r="A210" s="175" t="str">
        <f>wp_net&amp;" "&amp;8</f>
        <v>Net 8</v>
      </c>
      <c r="B210" s="175">
        <v>3</v>
      </c>
      <c r="C210" s="175">
        <v>3</v>
      </c>
      <c r="D210" s="175"/>
      <c r="E210" s="175">
        <v>3</v>
      </c>
      <c r="F210" s="175"/>
      <c r="G210" s="175"/>
      <c r="H210" s="175"/>
      <c r="I210" s="174"/>
      <c r="J210" s="174"/>
      <c r="K210" s="174"/>
      <c r="L210" s="174"/>
      <c r="M210" s="174"/>
      <c r="N210" s="174"/>
      <c r="O210" s="174"/>
      <c r="P210" s="174"/>
      <c r="Q210" s="174"/>
      <c r="R210" s="174"/>
      <c r="S210" s="174"/>
      <c r="T210" s="174"/>
      <c r="U210" s="174"/>
      <c r="V210" s="174"/>
      <c r="W210" s="174"/>
      <c r="X210" s="174"/>
      <c r="Y210" s="174"/>
    </row>
    <row r="211" spans="1:25" x14ac:dyDescent="0.25">
      <c r="A211" s="175" t="str">
        <f>wp_net&amp;" "&amp;9</f>
        <v>Net 9</v>
      </c>
      <c r="B211" s="175">
        <v>3</v>
      </c>
      <c r="C211" s="175">
        <v>4</v>
      </c>
      <c r="D211" s="175"/>
      <c r="E211" s="175">
        <v>3</v>
      </c>
      <c r="F211" s="175"/>
      <c r="G211" s="175"/>
      <c r="H211" s="175"/>
      <c r="I211" s="174"/>
      <c r="J211" s="174"/>
      <c r="K211" s="174"/>
      <c r="L211" s="174"/>
      <c r="M211" s="174"/>
      <c r="N211" s="174"/>
      <c r="O211" s="174"/>
      <c r="P211" s="174"/>
      <c r="Q211" s="174"/>
      <c r="R211" s="174"/>
      <c r="S211" s="174"/>
      <c r="T211" s="174"/>
      <c r="U211" s="174"/>
      <c r="V211" s="174"/>
      <c r="W211" s="174"/>
      <c r="X211" s="174"/>
      <c r="Y211" s="174"/>
    </row>
    <row r="212" spans="1:25" x14ac:dyDescent="0.25">
      <c r="A212" s="175" t="str">
        <f>wp_net&amp;" "&amp;10</f>
        <v>Net 10</v>
      </c>
      <c r="B212" s="175">
        <v>3</v>
      </c>
      <c r="C212" s="175">
        <v>4</v>
      </c>
      <c r="D212" s="175"/>
      <c r="E212" s="175">
        <v>3</v>
      </c>
      <c r="F212" s="175"/>
      <c r="G212" s="175"/>
      <c r="H212" s="175"/>
      <c r="I212" s="174"/>
      <c r="J212" s="174"/>
      <c r="K212" s="174"/>
      <c r="L212" s="174"/>
      <c r="M212" s="174"/>
      <c r="N212" s="174"/>
      <c r="O212" s="174"/>
      <c r="P212" s="174"/>
      <c r="Q212" s="174"/>
      <c r="R212" s="174"/>
      <c r="S212" s="174"/>
      <c r="T212" s="174"/>
      <c r="U212" s="174"/>
      <c r="V212" s="174"/>
      <c r="W212" s="174"/>
      <c r="X212" s="174"/>
      <c r="Y212" s="174"/>
    </row>
    <row r="213" spans="1:25" x14ac:dyDescent="0.25">
      <c r="A213" s="175" t="str">
        <f>wp_net&amp;" "&amp;11</f>
        <v>Net 11</v>
      </c>
      <c r="B213" s="175">
        <v>4</v>
      </c>
      <c r="C213" s="175">
        <v>4</v>
      </c>
      <c r="D213" s="175"/>
      <c r="E213" s="175">
        <v>4</v>
      </c>
      <c r="F213" s="175"/>
      <c r="G213" s="175"/>
      <c r="H213" s="175"/>
      <c r="I213" s="174"/>
      <c r="J213" s="174"/>
      <c r="K213" s="174"/>
      <c r="L213" s="174"/>
      <c r="M213" s="174"/>
      <c r="N213" s="174"/>
      <c r="O213" s="174"/>
      <c r="P213" s="174"/>
      <c r="Q213" s="174"/>
      <c r="R213" s="174"/>
      <c r="S213" s="174"/>
      <c r="T213" s="174"/>
      <c r="U213" s="174"/>
      <c r="V213" s="174"/>
      <c r="W213" s="174"/>
      <c r="X213" s="174"/>
      <c r="Y213" s="174"/>
    </row>
    <row r="214" spans="1:25" x14ac:dyDescent="0.25">
      <c r="A214" s="175" t="str">
        <f>wp_net&amp;" "&amp;12</f>
        <v>Net 12</v>
      </c>
      <c r="B214" s="175">
        <v>4</v>
      </c>
      <c r="C214" s="175">
        <v>5</v>
      </c>
      <c r="D214" s="175"/>
      <c r="E214" s="175">
        <v>4</v>
      </c>
      <c r="F214" s="175"/>
      <c r="G214" s="175"/>
      <c r="H214" s="175"/>
      <c r="I214" s="174"/>
      <c r="J214" s="174"/>
      <c r="K214" s="174"/>
      <c r="L214" s="174"/>
      <c r="M214" s="174"/>
      <c r="N214" s="174"/>
      <c r="O214" s="174"/>
      <c r="P214" s="174"/>
      <c r="Q214" s="174"/>
      <c r="R214" s="174"/>
      <c r="S214" s="174"/>
      <c r="T214" s="174"/>
      <c r="U214" s="174"/>
      <c r="V214" s="174"/>
      <c r="W214" s="174"/>
      <c r="X214" s="174"/>
      <c r="Y214" s="174"/>
    </row>
    <row r="215" spans="1:25" x14ac:dyDescent="0.25">
      <c r="A215" s="175" t="str">
        <f>wp_net&amp;" "&amp;13</f>
        <v>Net 13</v>
      </c>
      <c r="B215" s="175">
        <v>4</v>
      </c>
      <c r="C215" s="175">
        <v>5</v>
      </c>
      <c r="D215" s="175"/>
      <c r="E215" s="175">
        <v>4</v>
      </c>
      <c r="F215" s="175"/>
      <c r="G215" s="175"/>
      <c r="H215" s="175"/>
      <c r="I215" s="174"/>
      <c r="J215" s="174"/>
      <c r="K215" s="174"/>
      <c r="L215" s="174"/>
      <c r="M215" s="174"/>
      <c r="N215" s="174"/>
      <c r="O215" s="174"/>
      <c r="P215" s="174"/>
      <c r="Q215" s="174"/>
      <c r="R215" s="174"/>
      <c r="S215" s="174"/>
      <c r="T215" s="174"/>
      <c r="U215" s="174"/>
      <c r="V215" s="174"/>
      <c r="W215" s="174"/>
      <c r="X215" s="174"/>
      <c r="Y215" s="174"/>
    </row>
    <row r="216" spans="1:25" x14ac:dyDescent="0.25">
      <c r="A216" s="175" t="str">
        <f>wp_net&amp;" "&amp;14</f>
        <v>Net 14</v>
      </c>
      <c r="B216" s="175">
        <v>4</v>
      </c>
      <c r="C216" s="175">
        <v>5</v>
      </c>
      <c r="D216" s="175"/>
      <c r="E216" s="175">
        <v>4</v>
      </c>
      <c r="F216" s="175"/>
      <c r="G216" s="175"/>
      <c r="H216" s="175"/>
      <c r="I216" s="174"/>
      <c r="J216" s="174"/>
      <c r="K216" s="174"/>
      <c r="L216" s="174"/>
      <c r="M216" s="174"/>
      <c r="N216" s="174"/>
      <c r="O216" s="174"/>
      <c r="P216" s="174"/>
      <c r="Q216" s="174"/>
      <c r="R216" s="174"/>
      <c r="S216" s="174"/>
      <c r="T216" s="174"/>
      <c r="U216" s="174"/>
      <c r="V216" s="174"/>
      <c r="W216" s="174"/>
      <c r="X216" s="174"/>
      <c r="Y216" s="174"/>
    </row>
    <row r="217" spans="1:25" x14ac:dyDescent="0.25">
      <c r="A217" s="175" t="str">
        <f>wp_net&amp;" "&amp;15</f>
        <v>Net 15</v>
      </c>
      <c r="B217" s="175">
        <v>5</v>
      </c>
      <c r="C217" s="175">
        <v>5</v>
      </c>
      <c r="D217" s="175"/>
      <c r="E217" s="175">
        <v>5</v>
      </c>
      <c r="F217" s="175"/>
      <c r="G217" s="175"/>
      <c r="H217" s="175"/>
      <c r="I217" s="174"/>
      <c r="J217" s="174"/>
      <c r="K217" s="174"/>
      <c r="L217" s="174"/>
      <c r="M217" s="174"/>
      <c r="N217" s="174"/>
      <c r="O217" s="174"/>
      <c r="P217" s="174"/>
      <c r="Q217" s="174"/>
      <c r="R217" s="174"/>
      <c r="S217" s="174"/>
      <c r="T217" s="174"/>
      <c r="U217" s="174"/>
      <c r="V217" s="174"/>
      <c r="W217" s="174"/>
      <c r="X217" s="174"/>
      <c r="Y217" s="174"/>
    </row>
    <row r="218" spans="1:25" x14ac:dyDescent="0.25">
      <c r="A218" s="175" t="str">
        <f>wp_pole&amp;" "&amp;1</f>
        <v>Pole Arm 1</v>
      </c>
      <c r="B218" s="175">
        <v>1</v>
      </c>
      <c r="C218" s="175">
        <v>1</v>
      </c>
      <c r="D218" s="175"/>
      <c r="E218" s="175"/>
      <c r="F218" s="175"/>
      <c r="G218" s="175"/>
      <c r="H218" s="175"/>
      <c r="I218" s="174"/>
      <c r="J218" s="174"/>
      <c r="K218" s="174"/>
      <c r="L218" s="174"/>
      <c r="M218" s="174"/>
      <c r="N218" s="174"/>
      <c r="O218" s="174"/>
      <c r="P218" s="174"/>
      <c r="Q218" s="174"/>
      <c r="R218" s="174"/>
      <c r="S218" s="174"/>
      <c r="T218" s="174"/>
      <c r="U218" s="174"/>
      <c r="V218" s="174"/>
      <c r="W218" s="174"/>
      <c r="X218" s="174"/>
      <c r="Y218" s="174"/>
    </row>
    <row r="219" spans="1:25" x14ac:dyDescent="0.25">
      <c r="A219" s="175" t="str">
        <f>wp_pole&amp;" "&amp;2</f>
        <v>Pole Arm 2</v>
      </c>
      <c r="B219" s="175">
        <v>1</v>
      </c>
      <c r="C219" s="175">
        <v>1</v>
      </c>
      <c r="D219" s="175"/>
      <c r="E219" s="175"/>
      <c r="F219" s="175">
        <v>2</v>
      </c>
      <c r="G219" s="175"/>
      <c r="H219" s="175"/>
      <c r="I219" s="174"/>
      <c r="J219" s="174"/>
      <c r="K219" s="174"/>
      <c r="L219" s="174"/>
      <c r="M219" s="174"/>
      <c r="N219" s="174"/>
      <c r="O219" s="174"/>
      <c r="P219" s="174"/>
      <c r="Q219" s="174"/>
      <c r="R219" s="174"/>
      <c r="S219" s="174"/>
      <c r="T219" s="174"/>
      <c r="U219" s="174"/>
      <c r="V219" s="174"/>
      <c r="W219" s="174"/>
      <c r="X219" s="174"/>
      <c r="Y219" s="174"/>
    </row>
    <row r="220" spans="1:25" x14ac:dyDescent="0.25">
      <c r="A220" s="175" t="str">
        <f>wp_pole&amp;" "&amp;3</f>
        <v>Pole Arm 3</v>
      </c>
      <c r="B220" s="175">
        <v>2</v>
      </c>
      <c r="C220" s="175">
        <v>2</v>
      </c>
      <c r="D220" s="175">
        <v>1</v>
      </c>
      <c r="E220" s="175"/>
      <c r="F220" s="175">
        <v>2</v>
      </c>
      <c r="G220" s="175"/>
      <c r="H220" s="175"/>
      <c r="I220" s="174"/>
      <c r="J220" s="174"/>
      <c r="K220" s="174"/>
      <c r="L220" s="174"/>
      <c r="M220" s="174"/>
      <c r="N220" s="174"/>
      <c r="O220" s="174"/>
      <c r="P220" s="174"/>
      <c r="Q220" s="174"/>
      <c r="R220" s="174"/>
      <c r="S220" s="174"/>
      <c r="T220" s="174"/>
      <c r="U220" s="174"/>
      <c r="V220" s="174"/>
      <c r="W220" s="174"/>
      <c r="X220" s="174"/>
      <c r="Y220" s="174"/>
    </row>
    <row r="221" spans="1:25" x14ac:dyDescent="0.25">
      <c r="A221" s="175" t="str">
        <f>wp_pole&amp;" "&amp;4</f>
        <v>Pole Arm 4</v>
      </c>
      <c r="B221" s="175">
        <v>2</v>
      </c>
      <c r="C221" s="175">
        <v>2</v>
      </c>
      <c r="D221" s="175">
        <v>1</v>
      </c>
      <c r="E221" s="175"/>
      <c r="F221" s="175">
        <v>2</v>
      </c>
      <c r="G221" s="175"/>
      <c r="H221" s="175"/>
      <c r="I221" s="174"/>
      <c r="J221" s="174"/>
      <c r="K221" s="174"/>
      <c r="L221" s="174"/>
      <c r="M221" s="174"/>
      <c r="N221" s="174"/>
      <c r="O221" s="174"/>
      <c r="P221" s="174"/>
      <c r="Q221" s="174"/>
      <c r="R221" s="174"/>
      <c r="S221" s="174"/>
      <c r="T221" s="174"/>
      <c r="U221" s="174"/>
      <c r="V221" s="174"/>
      <c r="W221" s="174"/>
      <c r="X221" s="174"/>
      <c r="Y221" s="174"/>
    </row>
    <row r="222" spans="1:25" x14ac:dyDescent="0.25">
      <c r="A222" s="175" t="str">
        <f>wp_pole&amp;" "&amp;5</f>
        <v>Pole Arm 5</v>
      </c>
      <c r="B222" s="175">
        <v>2</v>
      </c>
      <c r="C222" s="175">
        <v>2</v>
      </c>
      <c r="D222" s="175">
        <v>1</v>
      </c>
      <c r="E222" s="175"/>
      <c r="F222" s="175">
        <v>2</v>
      </c>
      <c r="G222" s="175"/>
      <c r="H222" s="175"/>
      <c r="I222" s="174"/>
      <c r="J222" s="174"/>
      <c r="K222" s="174"/>
      <c r="L222" s="174"/>
      <c r="M222" s="174"/>
      <c r="N222" s="174"/>
      <c r="O222" s="174"/>
      <c r="P222" s="174"/>
      <c r="Q222" s="174"/>
      <c r="R222" s="174"/>
      <c r="S222" s="174"/>
      <c r="T222" s="174"/>
      <c r="U222" s="174"/>
      <c r="V222" s="174"/>
      <c r="W222" s="174"/>
      <c r="X222" s="174"/>
      <c r="Y222" s="174"/>
    </row>
    <row r="223" spans="1:25" x14ac:dyDescent="0.25">
      <c r="A223" s="175" t="str">
        <f>wp_pole&amp;" "&amp;6</f>
        <v>Pole Arm 6</v>
      </c>
      <c r="B223" s="175">
        <v>3</v>
      </c>
      <c r="C223" s="175">
        <v>3</v>
      </c>
      <c r="D223" s="175">
        <v>1</v>
      </c>
      <c r="E223" s="175"/>
      <c r="F223" s="175">
        <v>2</v>
      </c>
      <c r="G223" s="175"/>
      <c r="H223" s="175"/>
      <c r="I223" s="174"/>
      <c r="J223" s="174"/>
      <c r="K223" s="174"/>
      <c r="L223" s="174"/>
      <c r="M223" s="174"/>
      <c r="N223" s="174"/>
      <c r="O223" s="174"/>
      <c r="P223" s="174"/>
      <c r="Q223" s="174"/>
      <c r="R223" s="174"/>
      <c r="S223" s="174"/>
      <c r="T223" s="174"/>
      <c r="U223" s="174"/>
      <c r="V223" s="174"/>
      <c r="W223" s="174"/>
      <c r="X223" s="174"/>
      <c r="Y223" s="174"/>
    </row>
    <row r="224" spans="1:25" x14ac:dyDescent="0.25">
      <c r="A224" s="175" t="str">
        <f>wp_pole&amp;" "&amp;7</f>
        <v>Pole Arm 7</v>
      </c>
      <c r="B224" s="175">
        <v>3</v>
      </c>
      <c r="C224" s="175">
        <v>3</v>
      </c>
      <c r="D224" s="175">
        <v>2</v>
      </c>
      <c r="E224" s="175"/>
      <c r="F224" s="175">
        <v>2</v>
      </c>
      <c r="G224" s="175"/>
      <c r="H224" s="175"/>
      <c r="I224" s="174"/>
      <c r="J224" s="174"/>
      <c r="K224" s="174"/>
      <c r="L224" s="174"/>
      <c r="M224" s="174"/>
      <c r="N224" s="174"/>
      <c r="O224" s="174"/>
      <c r="P224" s="174"/>
      <c r="Q224" s="174"/>
      <c r="R224" s="174"/>
      <c r="S224" s="174"/>
      <c r="T224" s="174"/>
      <c r="U224" s="174"/>
      <c r="V224" s="174"/>
      <c r="W224" s="174"/>
      <c r="X224" s="174"/>
      <c r="Y224" s="174"/>
    </row>
    <row r="225" spans="1:25" x14ac:dyDescent="0.25">
      <c r="A225" s="175" t="str">
        <f>wp_pole&amp;" "&amp;8</f>
        <v>Pole Arm 8</v>
      </c>
      <c r="B225" s="175">
        <v>3</v>
      </c>
      <c r="C225" s="175">
        <v>3</v>
      </c>
      <c r="D225" s="175">
        <v>2</v>
      </c>
      <c r="E225" s="175"/>
      <c r="F225" s="175">
        <v>4</v>
      </c>
      <c r="G225" s="175"/>
      <c r="H225" s="175"/>
      <c r="I225" s="174"/>
      <c r="J225" s="174"/>
      <c r="K225" s="174"/>
      <c r="L225" s="174"/>
      <c r="M225" s="174"/>
      <c r="N225" s="174"/>
      <c r="O225" s="174"/>
      <c r="P225" s="174"/>
      <c r="Q225" s="174"/>
      <c r="R225" s="174"/>
      <c r="S225" s="174"/>
      <c r="T225" s="174"/>
      <c r="U225" s="174"/>
      <c r="V225" s="174"/>
      <c r="W225" s="174"/>
      <c r="X225" s="174"/>
      <c r="Y225" s="174"/>
    </row>
    <row r="226" spans="1:25" x14ac:dyDescent="0.25">
      <c r="A226" s="175" t="str">
        <f>wp_pole&amp;" "&amp;9</f>
        <v>Pole Arm 9</v>
      </c>
      <c r="B226" s="175">
        <v>4</v>
      </c>
      <c r="C226" s="175">
        <v>4</v>
      </c>
      <c r="D226" s="175">
        <v>2</v>
      </c>
      <c r="E226" s="175"/>
      <c r="F226" s="175">
        <v>4</v>
      </c>
      <c r="G226" s="175"/>
      <c r="H226" s="175"/>
      <c r="I226" s="174"/>
      <c r="J226" s="174"/>
      <c r="K226" s="174"/>
      <c r="L226" s="174"/>
      <c r="M226" s="174"/>
      <c r="N226" s="174"/>
      <c r="O226" s="174"/>
      <c r="P226" s="174"/>
      <c r="Q226" s="174"/>
      <c r="R226" s="174"/>
      <c r="S226" s="174"/>
      <c r="T226" s="174"/>
      <c r="U226" s="174"/>
      <c r="V226" s="174"/>
      <c r="W226" s="174"/>
      <c r="X226" s="174"/>
      <c r="Y226" s="174"/>
    </row>
    <row r="227" spans="1:25" x14ac:dyDescent="0.25">
      <c r="A227" s="175" t="str">
        <f>wp_pole&amp;" "&amp;10</f>
        <v>Pole Arm 10</v>
      </c>
      <c r="B227" s="175">
        <v>4</v>
      </c>
      <c r="C227" s="175">
        <v>4</v>
      </c>
      <c r="D227" s="175">
        <v>2</v>
      </c>
      <c r="E227" s="175"/>
      <c r="F227" s="175">
        <v>4</v>
      </c>
      <c r="G227" s="175"/>
      <c r="H227" s="175"/>
      <c r="I227" s="174"/>
      <c r="J227" s="174"/>
      <c r="K227" s="174"/>
      <c r="L227" s="174"/>
      <c r="M227" s="174"/>
      <c r="N227" s="174"/>
      <c r="O227" s="174"/>
      <c r="P227" s="174"/>
      <c r="Q227" s="174"/>
      <c r="R227" s="174"/>
      <c r="S227" s="174"/>
      <c r="T227" s="174"/>
      <c r="U227" s="174"/>
      <c r="V227" s="174"/>
      <c r="W227" s="174"/>
      <c r="X227" s="174"/>
      <c r="Y227" s="174"/>
    </row>
    <row r="228" spans="1:25" x14ac:dyDescent="0.25">
      <c r="A228" s="175" t="str">
        <f>wp_pole&amp;" "&amp;11</f>
        <v>Pole Arm 11</v>
      </c>
      <c r="B228" s="175">
        <v>4</v>
      </c>
      <c r="C228" s="175">
        <v>4</v>
      </c>
      <c r="D228" s="175">
        <v>2</v>
      </c>
      <c r="E228" s="175"/>
      <c r="F228" s="175">
        <v>4</v>
      </c>
      <c r="G228" s="175"/>
      <c r="H228" s="175"/>
      <c r="I228" s="174"/>
      <c r="J228" s="174"/>
      <c r="K228" s="174"/>
      <c r="L228" s="174"/>
      <c r="M228" s="174"/>
      <c r="N228" s="174"/>
      <c r="O228" s="174"/>
      <c r="P228" s="174"/>
      <c r="Q228" s="174"/>
      <c r="R228" s="174"/>
      <c r="S228" s="174"/>
      <c r="T228" s="174"/>
      <c r="U228" s="174"/>
      <c r="V228" s="174"/>
      <c r="W228" s="174"/>
      <c r="X228" s="174"/>
      <c r="Y228" s="174"/>
    </row>
    <row r="229" spans="1:25" x14ac:dyDescent="0.25">
      <c r="A229" s="175" t="str">
        <f>wp_pole&amp;" "&amp;12</f>
        <v>Pole Arm 12</v>
      </c>
      <c r="B229" s="175">
        <v>5</v>
      </c>
      <c r="C229" s="175">
        <v>5</v>
      </c>
      <c r="D229" s="175">
        <v>3</v>
      </c>
      <c r="E229" s="175"/>
      <c r="F229" s="175">
        <v>4</v>
      </c>
      <c r="G229" s="175"/>
      <c r="H229" s="175"/>
      <c r="I229" s="174"/>
      <c r="J229" s="174"/>
      <c r="K229" s="174"/>
      <c r="L229" s="174"/>
      <c r="M229" s="174"/>
      <c r="N229" s="174"/>
      <c r="O229" s="174"/>
      <c r="P229" s="174"/>
      <c r="Q229" s="174"/>
      <c r="R229" s="174"/>
      <c r="S229" s="174"/>
      <c r="T229" s="174"/>
      <c r="U229" s="174"/>
      <c r="V229" s="174"/>
      <c r="W229" s="174"/>
      <c r="X229" s="174"/>
      <c r="Y229" s="174"/>
    </row>
    <row r="230" spans="1:25" x14ac:dyDescent="0.25">
      <c r="A230" s="175" t="str">
        <f>wp_pole&amp;" "&amp;13</f>
        <v>Pole Arm 13</v>
      </c>
      <c r="B230" s="175">
        <v>5</v>
      </c>
      <c r="C230" s="175">
        <v>5</v>
      </c>
      <c r="D230" s="175">
        <v>3</v>
      </c>
      <c r="E230" s="175"/>
      <c r="F230" s="175">
        <v>4</v>
      </c>
      <c r="G230" s="175"/>
      <c r="H230" s="175"/>
      <c r="I230" s="174"/>
      <c r="J230" s="174"/>
      <c r="K230" s="174"/>
      <c r="L230" s="174"/>
      <c r="M230" s="174"/>
      <c r="N230" s="174"/>
      <c r="O230" s="174"/>
      <c r="P230" s="174"/>
      <c r="Q230" s="174"/>
      <c r="R230" s="174"/>
      <c r="S230" s="174"/>
      <c r="T230" s="174"/>
      <c r="U230" s="174"/>
      <c r="V230" s="174"/>
      <c r="W230" s="174"/>
      <c r="X230" s="174"/>
      <c r="Y230" s="174"/>
    </row>
    <row r="231" spans="1:25" x14ac:dyDescent="0.25">
      <c r="A231" s="175" t="str">
        <f>wp_pole&amp;" "&amp;14</f>
        <v>Pole Arm 14</v>
      </c>
      <c r="B231" s="175">
        <v>5</v>
      </c>
      <c r="C231" s="175">
        <v>5</v>
      </c>
      <c r="D231" s="175">
        <v>3</v>
      </c>
      <c r="E231" s="175"/>
      <c r="F231" s="175">
        <v>4</v>
      </c>
      <c r="G231" s="175"/>
      <c r="H231" s="175"/>
      <c r="I231" s="174"/>
      <c r="J231" s="174"/>
      <c r="K231" s="174"/>
      <c r="L231" s="174"/>
      <c r="M231" s="174"/>
      <c r="N231" s="174"/>
      <c r="O231" s="174"/>
      <c r="P231" s="174"/>
      <c r="Q231" s="174"/>
      <c r="R231" s="174"/>
      <c r="S231" s="174"/>
      <c r="T231" s="174"/>
      <c r="U231" s="174"/>
      <c r="V231" s="174"/>
      <c r="W231" s="174"/>
      <c r="X231" s="174"/>
      <c r="Y231" s="174"/>
    </row>
    <row r="232" spans="1:25" x14ac:dyDescent="0.25">
      <c r="A232" s="175" t="str">
        <f>wp_pole&amp;" "&amp;15</f>
        <v>Pole Arm 15</v>
      </c>
      <c r="B232" s="175">
        <v>5</v>
      </c>
      <c r="C232" s="175">
        <v>5</v>
      </c>
      <c r="D232" s="175">
        <v>3</v>
      </c>
      <c r="E232" s="175"/>
      <c r="F232" s="175">
        <v>4</v>
      </c>
      <c r="G232" s="175"/>
      <c r="H232" s="175"/>
      <c r="I232" s="174"/>
      <c r="J232" s="174"/>
      <c r="K232" s="174"/>
      <c r="L232" s="174"/>
      <c r="M232" s="174"/>
      <c r="N232" s="174"/>
      <c r="O232" s="174"/>
      <c r="P232" s="174"/>
      <c r="Q232" s="174"/>
      <c r="R232" s="174"/>
      <c r="S232" s="174"/>
      <c r="T232" s="174"/>
      <c r="U232" s="174"/>
      <c r="V232" s="174"/>
      <c r="W232" s="174"/>
      <c r="X232" s="174"/>
      <c r="Y232" s="174"/>
    </row>
    <row r="233" spans="1:25" x14ac:dyDescent="0.25">
      <c r="A233" s="175" t="str">
        <f>wp_shield&amp;" "&amp;1</f>
        <v>Shield 1</v>
      </c>
      <c r="B233" s="175"/>
      <c r="C233" s="175">
        <v>1</v>
      </c>
      <c r="D233" s="175"/>
      <c r="E233" s="175"/>
      <c r="F233" s="175"/>
      <c r="G233" s="175"/>
      <c r="H233" s="175"/>
      <c r="I233" s="174"/>
      <c r="J233" s="174"/>
      <c r="K233" s="174"/>
      <c r="L233" s="174"/>
      <c r="M233" s="174"/>
      <c r="N233" s="174"/>
      <c r="O233" s="174"/>
      <c r="P233" s="174"/>
      <c r="Q233" s="174"/>
      <c r="R233" s="174"/>
      <c r="S233" s="174"/>
      <c r="T233" s="174"/>
      <c r="U233" s="174"/>
      <c r="V233" s="174"/>
      <c r="W233" s="174"/>
      <c r="X233" s="174"/>
      <c r="Y233" s="174"/>
    </row>
    <row r="234" spans="1:25" x14ac:dyDescent="0.25">
      <c r="A234" s="175" t="str">
        <f>wp_shield&amp;" "&amp;2</f>
        <v>Shield 2</v>
      </c>
      <c r="B234" s="175"/>
      <c r="C234" s="175">
        <v>1</v>
      </c>
      <c r="D234" s="175"/>
      <c r="E234" s="175"/>
      <c r="F234" s="175"/>
      <c r="G234" s="175"/>
      <c r="H234" s="175"/>
      <c r="I234" s="174"/>
      <c r="J234" s="174"/>
      <c r="K234" s="174"/>
      <c r="L234" s="174"/>
      <c r="M234" s="174"/>
      <c r="N234" s="174"/>
      <c r="O234" s="174"/>
      <c r="P234" s="174"/>
      <c r="Q234" s="174"/>
      <c r="R234" s="174"/>
      <c r="S234" s="174"/>
      <c r="T234" s="174"/>
      <c r="U234" s="174"/>
      <c r="V234" s="174"/>
      <c r="W234" s="174"/>
      <c r="X234" s="174"/>
      <c r="Y234" s="174"/>
    </row>
    <row r="235" spans="1:25" x14ac:dyDescent="0.25">
      <c r="A235" s="175" t="str">
        <f>wp_shield&amp;" "&amp;3</f>
        <v>Shield 3</v>
      </c>
      <c r="B235" s="175"/>
      <c r="C235" s="175">
        <v>2</v>
      </c>
      <c r="D235" s="175"/>
      <c r="E235" s="175"/>
      <c r="F235" s="175"/>
      <c r="G235" s="175"/>
      <c r="H235" s="175"/>
      <c r="I235" s="174"/>
      <c r="J235" s="174"/>
      <c r="K235" s="174"/>
      <c r="L235" s="174"/>
      <c r="M235" s="174"/>
      <c r="N235" s="174"/>
      <c r="O235" s="174"/>
      <c r="P235" s="174"/>
      <c r="Q235" s="174"/>
      <c r="R235" s="174"/>
      <c r="S235" s="174"/>
      <c r="T235" s="174"/>
      <c r="U235" s="174"/>
      <c r="V235" s="174"/>
      <c r="W235" s="174"/>
      <c r="X235" s="174"/>
      <c r="Y235" s="174"/>
    </row>
    <row r="236" spans="1:25" x14ac:dyDescent="0.25">
      <c r="A236" s="175" t="str">
        <f>wp_shield&amp;" "&amp;4</f>
        <v>Shield 4</v>
      </c>
      <c r="B236" s="175">
        <v>1</v>
      </c>
      <c r="C236" s="175">
        <v>2</v>
      </c>
      <c r="D236" s="175"/>
      <c r="E236" s="175"/>
      <c r="F236" s="175"/>
      <c r="G236" s="175"/>
      <c r="H236" s="175"/>
      <c r="I236" s="174"/>
      <c r="J236" s="174"/>
      <c r="K236" s="174"/>
      <c r="L236" s="174"/>
      <c r="M236" s="174"/>
      <c r="N236" s="174"/>
      <c r="O236" s="174"/>
      <c r="P236" s="174"/>
      <c r="Q236" s="174"/>
      <c r="R236" s="174"/>
      <c r="S236" s="174"/>
      <c r="T236" s="174"/>
      <c r="U236" s="174"/>
      <c r="V236" s="174"/>
      <c r="W236" s="174"/>
      <c r="X236" s="174"/>
      <c r="Y236" s="174"/>
    </row>
    <row r="237" spans="1:25" x14ac:dyDescent="0.25">
      <c r="A237" s="175" t="str">
        <f>wp_shield&amp;" "&amp;5</f>
        <v>Shield 5</v>
      </c>
      <c r="B237" s="175">
        <v>1</v>
      </c>
      <c r="C237" s="175">
        <v>2</v>
      </c>
      <c r="D237" s="175"/>
      <c r="E237" s="175"/>
      <c r="F237" s="175"/>
      <c r="G237" s="175"/>
      <c r="H237" s="175"/>
      <c r="I237" s="174"/>
      <c r="J237" s="174"/>
      <c r="K237" s="174"/>
      <c r="L237" s="174"/>
      <c r="M237" s="174"/>
      <c r="N237" s="174"/>
      <c r="O237" s="174"/>
      <c r="P237" s="174"/>
      <c r="Q237" s="174"/>
      <c r="R237" s="174"/>
      <c r="S237" s="174"/>
      <c r="T237" s="174"/>
      <c r="U237" s="174"/>
      <c r="V237" s="174"/>
      <c r="W237" s="174"/>
      <c r="X237" s="174"/>
      <c r="Y237" s="174"/>
    </row>
    <row r="238" spans="1:25" x14ac:dyDescent="0.25">
      <c r="A238" s="175" t="str">
        <f>wp_shield&amp;" "&amp;6</f>
        <v>Shield 6</v>
      </c>
      <c r="B238" s="175">
        <v>1</v>
      </c>
      <c r="C238" s="175">
        <v>3</v>
      </c>
      <c r="D238" s="175"/>
      <c r="E238" s="175"/>
      <c r="F238" s="175"/>
      <c r="G238" s="175"/>
      <c r="H238" s="175"/>
      <c r="I238" s="174"/>
      <c r="J238" s="174"/>
      <c r="K238" s="174"/>
      <c r="L238" s="174"/>
      <c r="M238" s="174"/>
      <c r="N238" s="174"/>
      <c r="O238" s="174"/>
      <c r="P238" s="174"/>
      <c r="Q238" s="174"/>
      <c r="R238" s="174"/>
      <c r="S238" s="174"/>
      <c r="T238" s="174"/>
      <c r="U238" s="174"/>
      <c r="V238" s="174"/>
      <c r="W238" s="174"/>
      <c r="X238" s="174"/>
      <c r="Y238" s="174"/>
    </row>
    <row r="239" spans="1:25" x14ac:dyDescent="0.25">
      <c r="A239" s="175" t="str">
        <f>wp_shield&amp;" "&amp;7</f>
        <v>Shield 7</v>
      </c>
      <c r="B239" s="175">
        <v>1</v>
      </c>
      <c r="C239" s="175">
        <v>3</v>
      </c>
      <c r="D239" s="175"/>
      <c r="E239" s="175"/>
      <c r="F239" s="175"/>
      <c r="G239" s="175"/>
      <c r="H239" s="175"/>
      <c r="I239" s="174"/>
      <c r="J239" s="174"/>
      <c r="K239" s="174"/>
      <c r="L239" s="174"/>
      <c r="M239" s="174"/>
      <c r="N239" s="174"/>
      <c r="O239" s="174"/>
      <c r="P239" s="174"/>
      <c r="Q239" s="174"/>
      <c r="R239" s="174"/>
      <c r="S239" s="174"/>
      <c r="T239" s="174"/>
      <c r="U239" s="174"/>
      <c r="V239" s="174"/>
      <c r="W239" s="174"/>
      <c r="X239" s="174"/>
      <c r="Y239" s="174"/>
    </row>
    <row r="240" spans="1:25" x14ac:dyDescent="0.25">
      <c r="A240" s="175" t="str">
        <f>wp_shield&amp;" "&amp;8</f>
        <v>Shield 8</v>
      </c>
      <c r="B240" s="175">
        <v>2</v>
      </c>
      <c r="C240" s="175">
        <v>3</v>
      </c>
      <c r="D240" s="175"/>
      <c r="E240" s="175"/>
      <c r="F240" s="175"/>
      <c r="G240" s="175"/>
      <c r="H240" s="175"/>
      <c r="I240" s="174"/>
      <c r="J240" s="174"/>
      <c r="K240" s="174"/>
      <c r="L240" s="174"/>
      <c r="M240" s="174"/>
      <c r="N240" s="174"/>
      <c r="O240" s="174"/>
      <c r="P240" s="174"/>
      <c r="Q240" s="174"/>
      <c r="R240" s="174"/>
      <c r="S240" s="174"/>
      <c r="T240" s="174"/>
      <c r="U240" s="174"/>
      <c r="V240" s="174"/>
      <c r="W240" s="174"/>
      <c r="X240" s="174"/>
      <c r="Y240" s="174"/>
    </row>
    <row r="241" spans="1:25" x14ac:dyDescent="0.25">
      <c r="A241" s="175" t="str">
        <f>wp_shield&amp;" "&amp;9</f>
        <v>Shield 9</v>
      </c>
      <c r="B241" s="175">
        <v>2</v>
      </c>
      <c r="C241" s="175">
        <v>4</v>
      </c>
      <c r="D241" s="175"/>
      <c r="E241" s="175"/>
      <c r="F241" s="175"/>
      <c r="G241" s="175"/>
      <c r="H241" s="175"/>
      <c r="I241" s="174"/>
      <c r="J241" s="174"/>
      <c r="K241" s="174"/>
      <c r="L241" s="174"/>
      <c r="M241" s="174"/>
      <c r="N241" s="174"/>
      <c r="O241" s="174"/>
      <c r="P241" s="174"/>
      <c r="Q241" s="174"/>
      <c r="R241" s="174"/>
      <c r="S241" s="174"/>
      <c r="T241" s="174"/>
      <c r="U241" s="174"/>
      <c r="V241" s="174"/>
      <c r="W241" s="174"/>
      <c r="X241" s="174"/>
      <c r="Y241" s="174"/>
    </row>
    <row r="242" spans="1:25" x14ac:dyDescent="0.25">
      <c r="A242" s="175" t="str">
        <f>wp_shield&amp;" "&amp;10</f>
        <v>Shield 10</v>
      </c>
      <c r="B242" s="175">
        <v>2</v>
      </c>
      <c r="C242" s="175">
        <v>4</v>
      </c>
      <c r="D242" s="175"/>
      <c r="E242" s="175"/>
      <c r="F242" s="175"/>
      <c r="G242" s="175"/>
      <c r="H242" s="175"/>
      <c r="I242" s="174"/>
      <c r="J242" s="174"/>
      <c r="K242" s="174"/>
      <c r="L242" s="174"/>
      <c r="M242" s="174"/>
      <c r="N242" s="174"/>
      <c r="O242" s="174"/>
      <c r="P242" s="174"/>
      <c r="Q242" s="174"/>
      <c r="R242" s="174"/>
      <c r="S242" s="174"/>
      <c r="T242" s="174"/>
      <c r="U242" s="174"/>
      <c r="V242" s="174"/>
      <c r="W242" s="174"/>
      <c r="X242" s="174"/>
      <c r="Y242" s="174"/>
    </row>
    <row r="243" spans="1:25" x14ac:dyDescent="0.25">
      <c r="A243" s="175" t="str">
        <f>wp_shield&amp;" "&amp;11</f>
        <v>Shield 11</v>
      </c>
      <c r="B243" s="175">
        <v>2</v>
      </c>
      <c r="C243" s="175">
        <v>4</v>
      </c>
      <c r="D243" s="175"/>
      <c r="E243" s="175"/>
      <c r="F243" s="175"/>
      <c r="G243" s="175"/>
      <c r="H243" s="175"/>
      <c r="I243" s="174"/>
      <c r="J243" s="174"/>
      <c r="K243" s="174"/>
      <c r="L243" s="174"/>
      <c r="M243" s="174"/>
      <c r="N243" s="174"/>
      <c r="O243" s="174"/>
      <c r="P243" s="174"/>
      <c r="Q243" s="174"/>
      <c r="R243" s="174"/>
      <c r="S243" s="174"/>
      <c r="T243" s="174"/>
      <c r="U243" s="174"/>
      <c r="V243" s="174"/>
      <c r="W243" s="174"/>
      <c r="X243" s="174"/>
      <c r="Y243" s="174"/>
    </row>
    <row r="244" spans="1:25" x14ac:dyDescent="0.25">
      <c r="A244" s="175" t="str">
        <f>wp_shield&amp;" "&amp;12</f>
        <v>Shield 12</v>
      </c>
      <c r="B244" s="175">
        <v>3</v>
      </c>
      <c r="C244" s="175">
        <v>5</v>
      </c>
      <c r="D244" s="175"/>
      <c r="E244" s="175"/>
      <c r="F244" s="175"/>
      <c r="G244" s="175"/>
      <c r="H244" s="175"/>
      <c r="I244" s="174"/>
      <c r="J244" s="174"/>
      <c r="K244" s="174"/>
      <c r="L244" s="174"/>
      <c r="M244" s="174"/>
      <c r="N244" s="174"/>
      <c r="O244" s="174"/>
      <c r="P244" s="174"/>
      <c r="Q244" s="174"/>
      <c r="R244" s="174"/>
      <c r="S244" s="174"/>
      <c r="T244" s="174"/>
      <c r="U244" s="174"/>
      <c r="V244" s="174"/>
      <c r="W244" s="174"/>
      <c r="X244" s="174"/>
      <c r="Y244" s="174"/>
    </row>
    <row r="245" spans="1:25" x14ac:dyDescent="0.25">
      <c r="A245" s="175" t="str">
        <f>wp_shield&amp;" "&amp;13</f>
        <v>Shield 13</v>
      </c>
      <c r="B245" s="175">
        <v>3</v>
      </c>
      <c r="C245" s="175">
        <v>5</v>
      </c>
      <c r="D245" s="175"/>
      <c r="E245" s="175"/>
      <c r="F245" s="175"/>
      <c r="G245" s="175"/>
      <c r="H245" s="175"/>
      <c r="I245" s="174"/>
      <c r="J245" s="174"/>
      <c r="K245" s="174"/>
      <c r="L245" s="174"/>
      <c r="M245" s="174"/>
      <c r="N245" s="174"/>
      <c r="O245" s="174"/>
      <c r="P245" s="174"/>
      <c r="Q245" s="174"/>
      <c r="R245" s="174"/>
      <c r="S245" s="174"/>
      <c r="T245" s="174"/>
      <c r="U245" s="174"/>
      <c r="V245" s="174"/>
      <c r="W245" s="174"/>
      <c r="X245" s="174"/>
      <c r="Y245" s="174"/>
    </row>
    <row r="246" spans="1:25" x14ac:dyDescent="0.25">
      <c r="A246" s="175" t="str">
        <f>wp_shield&amp;" "&amp;14</f>
        <v>Shield 14</v>
      </c>
      <c r="B246" s="175">
        <v>3</v>
      </c>
      <c r="C246" s="175">
        <v>5</v>
      </c>
      <c r="D246" s="175"/>
      <c r="E246" s="175"/>
      <c r="F246" s="175"/>
      <c r="G246" s="175"/>
      <c r="H246" s="175"/>
      <c r="I246" s="174"/>
      <c r="J246" s="174"/>
      <c r="K246" s="174"/>
      <c r="L246" s="174"/>
      <c r="M246" s="174"/>
      <c r="N246" s="174"/>
      <c r="O246" s="174"/>
      <c r="P246" s="174"/>
      <c r="Q246" s="174"/>
      <c r="R246" s="174"/>
      <c r="S246" s="174"/>
      <c r="T246" s="174"/>
      <c r="U246" s="174"/>
      <c r="V246" s="174"/>
      <c r="W246" s="174"/>
      <c r="X246" s="174"/>
      <c r="Y246" s="174"/>
    </row>
    <row r="247" spans="1:25" x14ac:dyDescent="0.25">
      <c r="A247" s="175" t="str">
        <f>wp_shield&amp;" "&amp;15</f>
        <v>Shield 15</v>
      </c>
      <c r="B247" s="175">
        <v>3</v>
      </c>
      <c r="C247" s="175">
        <v>6</v>
      </c>
      <c r="D247" s="175"/>
      <c r="E247" s="175"/>
      <c r="F247" s="175"/>
      <c r="G247" s="175"/>
      <c r="H247" s="175"/>
      <c r="I247" s="174"/>
      <c r="J247" s="174"/>
      <c r="K247" s="174"/>
      <c r="L247" s="174"/>
      <c r="M247" s="174"/>
      <c r="N247" s="174"/>
      <c r="O247" s="174"/>
      <c r="P247" s="174"/>
      <c r="Q247" s="174"/>
      <c r="R247" s="174"/>
      <c r="S247" s="174"/>
      <c r="T247" s="174"/>
      <c r="U247" s="174"/>
      <c r="V247" s="174"/>
      <c r="W247" s="174"/>
      <c r="X247" s="174"/>
      <c r="Y247" s="174"/>
    </row>
    <row r="248" spans="1:25" x14ac:dyDescent="0.25">
      <c r="A248" s="175" t="str">
        <f>wp_siege&amp;" "&amp;1</f>
        <v>Siege Weapons 1</v>
      </c>
      <c r="B248" s="175"/>
      <c r="C248" s="175"/>
      <c r="D248" s="175"/>
      <c r="E248" s="175"/>
      <c r="F248" s="175"/>
      <c r="G248" s="175"/>
      <c r="H248" s="175"/>
      <c r="I248" s="174"/>
      <c r="J248" s="174"/>
      <c r="K248" s="174"/>
      <c r="L248" s="174"/>
      <c r="M248" s="174"/>
      <c r="N248" s="174"/>
      <c r="O248" s="174"/>
      <c r="P248" s="174"/>
      <c r="Q248" s="174"/>
      <c r="R248" s="174"/>
      <c r="S248" s="174"/>
      <c r="T248" s="174"/>
      <c r="U248" s="174"/>
      <c r="V248" s="174"/>
      <c r="W248" s="174"/>
      <c r="X248" s="174"/>
      <c r="Y248" s="174"/>
    </row>
    <row r="249" spans="1:25" x14ac:dyDescent="0.25">
      <c r="A249" s="175" t="str">
        <f>wp_siege&amp;" "&amp;2</f>
        <v>Siege Weapons 2</v>
      </c>
      <c r="B249" s="175">
        <v>1</v>
      </c>
      <c r="C249" s="175"/>
      <c r="D249" s="175"/>
      <c r="E249" s="175"/>
      <c r="F249" s="175"/>
      <c r="G249" s="175"/>
      <c r="H249" s="175"/>
      <c r="I249" s="174"/>
      <c r="J249" s="174"/>
      <c r="K249" s="174"/>
      <c r="L249" s="174"/>
      <c r="M249" s="174"/>
      <c r="N249" s="174"/>
      <c r="O249" s="174"/>
      <c r="P249" s="174"/>
      <c r="Q249" s="174"/>
      <c r="R249" s="174"/>
      <c r="S249" s="174"/>
      <c r="T249" s="174"/>
      <c r="U249" s="174"/>
      <c r="V249" s="174"/>
      <c r="W249" s="174"/>
      <c r="X249" s="174"/>
      <c r="Y249" s="174"/>
    </row>
    <row r="250" spans="1:25" x14ac:dyDescent="0.25">
      <c r="A250" s="175" t="str">
        <f>wp_siege&amp;" "&amp;3</f>
        <v>Siege Weapons 3</v>
      </c>
      <c r="B250" s="175">
        <v>1</v>
      </c>
      <c r="C250" s="175"/>
      <c r="D250" s="175"/>
      <c r="E250" s="175"/>
      <c r="F250" s="175"/>
      <c r="G250" s="175"/>
      <c r="H250" s="175"/>
      <c r="I250" s="174"/>
      <c r="J250" s="174"/>
      <c r="K250" s="174"/>
      <c r="L250" s="174"/>
      <c r="M250" s="174"/>
      <c r="N250" s="174"/>
      <c r="O250" s="174"/>
      <c r="P250" s="174"/>
      <c r="Q250" s="174"/>
      <c r="R250" s="174"/>
      <c r="S250" s="174"/>
      <c r="T250" s="174"/>
      <c r="U250" s="174"/>
      <c r="V250" s="174"/>
      <c r="W250" s="174"/>
      <c r="X250" s="174"/>
      <c r="Y250" s="174"/>
    </row>
    <row r="251" spans="1:25" x14ac:dyDescent="0.25">
      <c r="A251" s="175" t="str">
        <f>wp_siege&amp;" "&amp;4</f>
        <v>Siege Weapons 4</v>
      </c>
      <c r="B251" s="175">
        <v>1</v>
      </c>
      <c r="C251" s="175"/>
      <c r="D251" s="175"/>
      <c r="E251" s="175"/>
      <c r="F251" s="175"/>
      <c r="G251" s="175"/>
      <c r="H251" s="175"/>
      <c r="I251" s="174"/>
      <c r="J251" s="174"/>
      <c r="K251" s="174"/>
      <c r="L251" s="174"/>
      <c r="M251" s="174"/>
      <c r="N251" s="174"/>
      <c r="O251" s="174"/>
      <c r="P251" s="174"/>
      <c r="Q251" s="174"/>
      <c r="R251" s="174"/>
      <c r="S251" s="174"/>
      <c r="T251" s="174"/>
      <c r="U251" s="174"/>
      <c r="V251" s="174"/>
      <c r="W251" s="174"/>
      <c r="X251" s="174"/>
      <c r="Y251" s="174"/>
    </row>
    <row r="252" spans="1:25" x14ac:dyDescent="0.25">
      <c r="A252" s="175" t="str">
        <f>wp_siege&amp;" "&amp;5</f>
        <v>Siege Weapons 5</v>
      </c>
      <c r="B252" s="175">
        <v>2</v>
      </c>
      <c r="C252" s="175"/>
      <c r="D252" s="175"/>
      <c r="E252" s="175"/>
      <c r="F252" s="175"/>
      <c r="G252" s="175"/>
      <c r="H252" s="175"/>
      <c r="I252" s="174"/>
      <c r="J252" s="174"/>
      <c r="K252" s="174"/>
      <c r="L252" s="174"/>
      <c r="M252" s="174"/>
      <c r="N252" s="174"/>
      <c r="O252" s="174"/>
      <c r="P252" s="174"/>
      <c r="Q252" s="174"/>
      <c r="R252" s="174"/>
      <c r="S252" s="174"/>
      <c r="T252" s="174"/>
      <c r="U252" s="174"/>
      <c r="V252" s="174"/>
      <c r="W252" s="174"/>
      <c r="X252" s="174"/>
      <c r="Y252" s="174"/>
    </row>
    <row r="253" spans="1:25" x14ac:dyDescent="0.25">
      <c r="A253" s="175" t="str">
        <f>wp_siege&amp;" "&amp;6</f>
        <v>Siege Weapons 6</v>
      </c>
      <c r="B253" s="175">
        <v>2</v>
      </c>
      <c r="C253" s="175"/>
      <c r="D253" s="175"/>
      <c r="E253" s="175"/>
      <c r="F253" s="175"/>
      <c r="G253" s="175"/>
      <c r="H253" s="175"/>
      <c r="I253" s="174"/>
      <c r="J253" s="174"/>
      <c r="K253" s="174"/>
      <c r="L253" s="174"/>
      <c r="M253" s="174"/>
      <c r="N253" s="174"/>
      <c r="O253" s="174"/>
      <c r="P253" s="174"/>
      <c r="Q253" s="174"/>
      <c r="R253" s="174"/>
      <c r="S253" s="174"/>
      <c r="T253" s="174"/>
      <c r="U253" s="174"/>
      <c r="V253" s="174"/>
      <c r="W253" s="174"/>
      <c r="X253" s="174"/>
      <c r="Y253" s="174"/>
    </row>
    <row r="254" spans="1:25" x14ac:dyDescent="0.25">
      <c r="A254" s="175" t="str">
        <f>wp_siege&amp;" "&amp;7</f>
        <v>Siege Weapons 7</v>
      </c>
      <c r="B254" s="175">
        <v>2</v>
      </c>
      <c r="C254" s="175"/>
      <c r="D254" s="175"/>
      <c r="E254" s="175"/>
      <c r="F254" s="175"/>
      <c r="G254" s="175"/>
      <c r="H254" s="175"/>
      <c r="I254" s="174"/>
      <c r="J254" s="174"/>
      <c r="K254" s="174"/>
      <c r="L254" s="174"/>
      <c r="M254" s="174"/>
      <c r="N254" s="174"/>
      <c r="O254" s="174"/>
      <c r="P254" s="174"/>
      <c r="Q254" s="174"/>
      <c r="R254" s="174"/>
      <c r="S254" s="174"/>
      <c r="T254" s="174"/>
      <c r="U254" s="174"/>
      <c r="V254" s="174"/>
      <c r="W254" s="174"/>
      <c r="X254" s="174"/>
      <c r="Y254" s="174"/>
    </row>
    <row r="255" spans="1:25" x14ac:dyDescent="0.25">
      <c r="A255" s="175" t="str">
        <f>wp_siege&amp;" "&amp;8</f>
        <v>Siege Weapons 8</v>
      </c>
      <c r="B255" s="175">
        <v>2</v>
      </c>
      <c r="C255" s="175"/>
      <c r="D255" s="175"/>
      <c r="E255" s="175"/>
      <c r="F255" s="175"/>
      <c r="G255" s="175"/>
      <c r="H255" s="175"/>
      <c r="I255" s="174"/>
      <c r="J255" s="174"/>
      <c r="K255" s="174"/>
      <c r="L255" s="174"/>
      <c r="M255" s="174"/>
      <c r="N255" s="174"/>
      <c r="O255" s="174"/>
      <c r="P255" s="174"/>
      <c r="Q255" s="174"/>
      <c r="R255" s="174"/>
      <c r="S255" s="174"/>
      <c r="T255" s="174"/>
      <c r="U255" s="174"/>
      <c r="V255" s="174"/>
      <c r="W255" s="174"/>
      <c r="X255" s="174"/>
      <c r="Y255" s="174"/>
    </row>
    <row r="256" spans="1:25" x14ac:dyDescent="0.25">
      <c r="A256" s="175" t="str">
        <f>wp_siege&amp;" "&amp;9</f>
        <v>Siege Weapons 9</v>
      </c>
      <c r="B256" s="175">
        <v>3</v>
      </c>
      <c r="C256" s="175"/>
      <c r="D256" s="175"/>
      <c r="E256" s="175"/>
      <c r="F256" s="175"/>
      <c r="G256" s="175"/>
      <c r="H256" s="175"/>
      <c r="I256" s="174"/>
      <c r="J256" s="174"/>
      <c r="K256" s="174"/>
      <c r="L256" s="174"/>
      <c r="M256" s="174"/>
      <c r="N256" s="174"/>
      <c r="O256" s="174"/>
      <c r="P256" s="174"/>
      <c r="Q256" s="174"/>
      <c r="R256" s="174"/>
      <c r="S256" s="174"/>
      <c r="T256" s="174"/>
      <c r="U256" s="174"/>
      <c r="V256" s="174"/>
      <c r="W256" s="174"/>
      <c r="X256" s="174"/>
      <c r="Y256" s="174"/>
    </row>
    <row r="257" spans="1:25" x14ac:dyDescent="0.25">
      <c r="A257" s="175" t="str">
        <f>wp_siege&amp;" "&amp;10</f>
        <v>Siege Weapons 10</v>
      </c>
      <c r="B257" s="175">
        <v>3</v>
      </c>
      <c r="C257" s="175"/>
      <c r="D257" s="175"/>
      <c r="E257" s="175"/>
      <c r="F257" s="175"/>
      <c r="G257" s="175"/>
      <c r="H257" s="175"/>
      <c r="I257" s="174"/>
      <c r="J257" s="174"/>
      <c r="K257" s="174"/>
      <c r="L257" s="174"/>
      <c r="M257" s="174"/>
      <c r="N257" s="174"/>
      <c r="O257" s="174"/>
      <c r="P257" s="174"/>
      <c r="Q257" s="174"/>
      <c r="R257" s="174"/>
      <c r="S257" s="174"/>
      <c r="T257" s="174"/>
      <c r="U257" s="174"/>
      <c r="V257" s="174"/>
      <c r="W257" s="174"/>
      <c r="X257" s="174"/>
      <c r="Y257" s="174"/>
    </row>
    <row r="258" spans="1:25" x14ac:dyDescent="0.25">
      <c r="A258" s="175" t="str">
        <f>wp_siege&amp;" "&amp;11</f>
        <v>Siege Weapons 11</v>
      </c>
      <c r="B258" s="175">
        <v>3</v>
      </c>
      <c r="C258" s="175"/>
      <c r="D258" s="175"/>
      <c r="E258" s="175"/>
      <c r="F258" s="175"/>
      <c r="G258" s="175"/>
      <c r="H258" s="175"/>
      <c r="I258" s="174"/>
      <c r="J258" s="174"/>
      <c r="K258" s="174"/>
      <c r="L258" s="174"/>
      <c r="M258" s="174"/>
      <c r="N258" s="174"/>
      <c r="O258" s="174"/>
      <c r="P258" s="174"/>
      <c r="Q258" s="174"/>
      <c r="R258" s="174"/>
      <c r="S258" s="174"/>
      <c r="T258" s="174"/>
      <c r="U258" s="174"/>
      <c r="V258" s="174"/>
      <c r="W258" s="174"/>
      <c r="X258" s="174"/>
      <c r="Y258" s="174"/>
    </row>
    <row r="259" spans="1:25" x14ac:dyDescent="0.25">
      <c r="A259" s="175" t="str">
        <f>wp_siege&amp;" "&amp;12</f>
        <v>Siege Weapons 12</v>
      </c>
      <c r="B259" s="175">
        <v>4</v>
      </c>
      <c r="C259" s="175"/>
      <c r="D259" s="175"/>
      <c r="E259" s="175"/>
      <c r="F259" s="175"/>
      <c r="G259" s="175"/>
      <c r="H259" s="175"/>
      <c r="I259" s="174"/>
      <c r="J259" s="174"/>
      <c r="K259" s="174"/>
      <c r="L259" s="174"/>
      <c r="M259" s="174"/>
      <c r="N259" s="174"/>
      <c r="O259" s="174"/>
      <c r="P259" s="174"/>
      <c r="Q259" s="174"/>
      <c r="R259" s="174"/>
      <c r="S259" s="174"/>
      <c r="T259" s="174"/>
      <c r="U259" s="174"/>
      <c r="V259" s="174"/>
      <c r="W259" s="174"/>
      <c r="X259" s="174"/>
      <c r="Y259" s="174"/>
    </row>
    <row r="260" spans="1:25" x14ac:dyDescent="0.25">
      <c r="A260" s="175" t="str">
        <f>wp_siege&amp;" "&amp;13</f>
        <v>Siege Weapons 13</v>
      </c>
      <c r="B260" s="175">
        <v>4</v>
      </c>
      <c r="C260" s="175"/>
      <c r="D260" s="175"/>
      <c r="E260" s="175"/>
      <c r="F260" s="175"/>
      <c r="G260" s="175"/>
      <c r="H260" s="175"/>
      <c r="I260" s="174"/>
      <c r="J260" s="174"/>
      <c r="K260" s="174"/>
      <c r="L260" s="174"/>
      <c r="M260" s="174"/>
      <c r="N260" s="174"/>
      <c r="O260" s="174"/>
      <c r="P260" s="174"/>
      <c r="Q260" s="174"/>
      <c r="R260" s="174"/>
      <c r="S260" s="174"/>
      <c r="T260" s="174"/>
      <c r="U260" s="174"/>
      <c r="V260" s="174"/>
      <c r="W260" s="174"/>
      <c r="X260" s="174"/>
      <c r="Y260" s="174"/>
    </row>
    <row r="261" spans="1:25" x14ac:dyDescent="0.25">
      <c r="A261" s="175" t="str">
        <f>wp_siege&amp;" "&amp;14</f>
        <v>Siege Weapons 14</v>
      </c>
      <c r="B261" s="175">
        <v>4</v>
      </c>
      <c r="C261" s="175"/>
      <c r="D261" s="175"/>
      <c r="E261" s="175"/>
      <c r="F261" s="175"/>
      <c r="G261" s="175"/>
      <c r="H261" s="175"/>
      <c r="I261" s="174"/>
      <c r="J261" s="174"/>
      <c r="K261" s="174"/>
      <c r="L261" s="174"/>
      <c r="M261" s="174"/>
      <c r="N261" s="174"/>
      <c r="O261" s="174"/>
      <c r="P261" s="174"/>
      <c r="Q261" s="174"/>
      <c r="R261" s="174"/>
      <c r="S261" s="174"/>
      <c r="T261" s="174"/>
      <c r="U261" s="174"/>
      <c r="V261" s="174"/>
      <c r="W261" s="174"/>
      <c r="X261" s="174"/>
      <c r="Y261" s="174"/>
    </row>
    <row r="262" spans="1:25" x14ac:dyDescent="0.25">
      <c r="A262" s="175" t="str">
        <f>wp_siege&amp;" "&amp;15</f>
        <v>Siege Weapons 15</v>
      </c>
      <c r="B262" s="175">
        <v>4</v>
      </c>
      <c r="C262" s="175"/>
      <c r="D262" s="175"/>
      <c r="E262" s="175"/>
      <c r="F262" s="175"/>
      <c r="G262" s="175"/>
      <c r="H262" s="175"/>
      <c r="I262" s="174"/>
      <c r="J262" s="174"/>
      <c r="K262" s="174"/>
      <c r="L262" s="174"/>
      <c r="M262" s="174"/>
      <c r="N262" s="174"/>
      <c r="O262" s="174"/>
      <c r="P262" s="174"/>
      <c r="Q262" s="174"/>
      <c r="R262" s="174"/>
      <c r="S262" s="174"/>
      <c r="T262" s="174"/>
      <c r="U262" s="174"/>
      <c r="V262" s="174"/>
      <c r="W262" s="174"/>
      <c r="X262" s="174"/>
      <c r="Y262" s="174"/>
    </row>
    <row r="263" spans="1:25" x14ac:dyDescent="0.25">
      <c r="A263" s="175" t="str">
        <f>wp_spear&amp;" "&amp;1</f>
        <v>Spear 1</v>
      </c>
      <c r="B263" s="175">
        <v>1</v>
      </c>
      <c r="C263" s="175">
        <v>1</v>
      </c>
      <c r="D263" s="175"/>
      <c r="E263" s="175"/>
      <c r="F263" s="175"/>
      <c r="G263" s="175"/>
      <c r="H263" s="175"/>
      <c r="I263" s="174"/>
      <c r="J263" s="174"/>
      <c r="K263" s="174"/>
      <c r="L263" s="174"/>
      <c r="M263" s="174"/>
      <c r="N263" s="174"/>
      <c r="O263" s="174"/>
      <c r="P263" s="174"/>
      <c r="Q263" s="174"/>
      <c r="R263" s="174"/>
      <c r="S263" s="174"/>
      <c r="T263" s="174"/>
      <c r="U263" s="174"/>
      <c r="V263" s="174"/>
      <c r="W263" s="174"/>
      <c r="X263" s="174"/>
      <c r="Y263" s="174"/>
    </row>
    <row r="264" spans="1:25" x14ac:dyDescent="0.25">
      <c r="A264" s="175" t="str">
        <f>wp_spear&amp;" "&amp;2</f>
        <v>Spear 2</v>
      </c>
      <c r="B264" s="175">
        <v>1</v>
      </c>
      <c r="C264" s="175">
        <v>1</v>
      </c>
      <c r="D264" s="175"/>
      <c r="E264" s="175"/>
      <c r="F264" s="175"/>
      <c r="G264" s="175"/>
      <c r="H264" s="175"/>
      <c r="I264" s="174"/>
      <c r="J264" s="174"/>
      <c r="K264" s="174"/>
      <c r="L264" s="174"/>
      <c r="M264" s="174"/>
      <c r="N264" s="174"/>
      <c r="O264" s="174"/>
      <c r="P264" s="174"/>
      <c r="Q264" s="174"/>
      <c r="R264" s="174"/>
      <c r="S264" s="174"/>
      <c r="T264" s="174"/>
      <c r="U264" s="174"/>
      <c r="V264" s="174"/>
      <c r="W264" s="174"/>
      <c r="X264" s="174"/>
      <c r="Y264" s="174"/>
    </row>
    <row r="265" spans="1:25" x14ac:dyDescent="0.25">
      <c r="A265" s="175" t="str">
        <f>wp_spear&amp;" "&amp;3</f>
        <v>Spear 3</v>
      </c>
      <c r="B265" s="175">
        <v>2</v>
      </c>
      <c r="C265" s="175">
        <v>2</v>
      </c>
      <c r="D265" s="175">
        <v>1</v>
      </c>
      <c r="E265" s="175"/>
      <c r="F265" s="175"/>
      <c r="G265" s="175"/>
      <c r="H265" s="175"/>
      <c r="I265" s="174"/>
      <c r="J265" s="174"/>
      <c r="K265" s="174"/>
      <c r="L265" s="174"/>
      <c r="M265" s="174"/>
      <c r="N265" s="174"/>
      <c r="O265" s="174"/>
      <c r="P265" s="174"/>
      <c r="Q265" s="174"/>
      <c r="R265" s="174"/>
      <c r="S265" s="174"/>
      <c r="T265" s="174"/>
      <c r="U265" s="174"/>
      <c r="V265" s="174"/>
      <c r="W265" s="174"/>
      <c r="X265" s="174"/>
      <c r="Y265" s="174"/>
    </row>
    <row r="266" spans="1:25" x14ac:dyDescent="0.25">
      <c r="A266" s="175" t="str">
        <f>wp_spear&amp;" "&amp;4</f>
        <v>Spear 4</v>
      </c>
      <c r="B266" s="175">
        <v>2</v>
      </c>
      <c r="C266" s="175">
        <v>2</v>
      </c>
      <c r="D266" s="175">
        <v>1</v>
      </c>
      <c r="E266" s="175"/>
      <c r="F266" s="175"/>
      <c r="G266" s="175"/>
      <c r="H266" s="175"/>
      <c r="I266" s="174"/>
      <c r="J266" s="174"/>
      <c r="K266" s="174"/>
      <c r="L266" s="174"/>
      <c r="M266" s="174"/>
      <c r="N266" s="174"/>
      <c r="O266" s="174"/>
      <c r="P266" s="174"/>
      <c r="Q266" s="174"/>
      <c r="R266" s="174"/>
      <c r="S266" s="174"/>
      <c r="T266" s="174"/>
      <c r="U266" s="174"/>
      <c r="V266" s="174"/>
      <c r="W266" s="174"/>
      <c r="X266" s="174"/>
      <c r="Y266" s="174"/>
    </row>
    <row r="267" spans="1:25" x14ac:dyDescent="0.25">
      <c r="A267" s="175" t="str">
        <f>wp_spear&amp;" "&amp;5</f>
        <v>Spear 5</v>
      </c>
      <c r="B267" s="175">
        <v>3</v>
      </c>
      <c r="C267" s="175">
        <v>3</v>
      </c>
      <c r="D267" s="175">
        <v>1</v>
      </c>
      <c r="E267" s="175"/>
      <c r="F267" s="175"/>
      <c r="G267" s="175"/>
      <c r="H267" s="175"/>
      <c r="I267" s="174"/>
      <c r="J267" s="174"/>
      <c r="K267" s="174"/>
      <c r="L267" s="174"/>
      <c r="M267" s="174"/>
      <c r="N267" s="174"/>
      <c r="O267" s="174"/>
      <c r="P267" s="174"/>
      <c r="Q267" s="174"/>
      <c r="R267" s="174"/>
      <c r="S267" s="174"/>
      <c r="T267" s="174"/>
      <c r="U267" s="174"/>
      <c r="V267" s="174"/>
      <c r="W267" s="174"/>
      <c r="X267" s="174"/>
      <c r="Y267" s="174"/>
    </row>
    <row r="268" spans="1:25" x14ac:dyDescent="0.25">
      <c r="A268" s="175" t="str">
        <f>wp_spear&amp;" "&amp;6</f>
        <v>Spear 6</v>
      </c>
      <c r="B268" s="175">
        <v>3</v>
      </c>
      <c r="C268" s="175">
        <v>3</v>
      </c>
      <c r="D268" s="175">
        <v>2</v>
      </c>
      <c r="E268" s="175"/>
      <c r="F268" s="175"/>
      <c r="G268" s="175"/>
      <c r="H268" s="175"/>
      <c r="I268" s="174"/>
      <c r="J268" s="174"/>
      <c r="K268" s="174"/>
      <c r="L268" s="174"/>
      <c r="M268" s="174"/>
      <c r="N268" s="174"/>
      <c r="O268" s="174"/>
      <c r="P268" s="174"/>
      <c r="Q268" s="174"/>
      <c r="R268" s="174"/>
      <c r="S268" s="174"/>
      <c r="T268" s="174"/>
      <c r="U268" s="174"/>
      <c r="V268" s="174"/>
      <c r="W268" s="174"/>
      <c r="X268" s="174"/>
      <c r="Y268" s="174"/>
    </row>
    <row r="269" spans="1:25" x14ac:dyDescent="0.25">
      <c r="A269" s="175" t="str">
        <f>wp_spear&amp;" "&amp;7</f>
        <v>Spear 7</v>
      </c>
      <c r="B269" s="175">
        <v>3</v>
      </c>
      <c r="C269" s="175">
        <v>3</v>
      </c>
      <c r="D269" s="175">
        <v>2</v>
      </c>
      <c r="E269" s="175"/>
      <c r="F269" s="175"/>
      <c r="G269" s="175"/>
      <c r="H269" s="175"/>
      <c r="I269" s="174"/>
      <c r="J269" s="174"/>
      <c r="K269" s="174"/>
      <c r="L269" s="174"/>
      <c r="M269" s="174"/>
      <c r="N269" s="174"/>
      <c r="O269" s="174"/>
      <c r="P269" s="174"/>
      <c r="Q269" s="174"/>
      <c r="R269" s="174"/>
      <c r="S269" s="174"/>
      <c r="T269" s="174"/>
      <c r="U269" s="174"/>
      <c r="V269" s="174"/>
      <c r="W269" s="174"/>
      <c r="X269" s="174"/>
      <c r="Y269" s="174"/>
    </row>
    <row r="270" spans="1:25" x14ac:dyDescent="0.25">
      <c r="A270" s="175" t="str">
        <f>wp_spear&amp;" "&amp;8</f>
        <v>Spear 8</v>
      </c>
      <c r="B270" s="175">
        <v>4</v>
      </c>
      <c r="C270" s="175">
        <v>4</v>
      </c>
      <c r="D270" s="175">
        <v>2</v>
      </c>
      <c r="E270" s="175"/>
      <c r="F270" s="175"/>
      <c r="G270" s="175"/>
      <c r="H270" s="175"/>
      <c r="I270" s="174"/>
      <c r="J270" s="174"/>
      <c r="K270" s="174"/>
      <c r="L270" s="174"/>
      <c r="M270" s="174"/>
      <c r="N270" s="174"/>
      <c r="O270" s="174"/>
      <c r="P270" s="174"/>
      <c r="Q270" s="174"/>
      <c r="R270" s="174"/>
      <c r="S270" s="174"/>
      <c r="T270" s="174"/>
      <c r="U270" s="174"/>
      <c r="V270" s="174"/>
      <c r="W270" s="174"/>
      <c r="X270" s="174"/>
      <c r="Y270" s="174"/>
    </row>
    <row r="271" spans="1:25" x14ac:dyDescent="0.25">
      <c r="A271" s="175" t="str">
        <f>wp_spear&amp;" "&amp;9</f>
        <v>Spear 9</v>
      </c>
      <c r="B271" s="175">
        <v>4</v>
      </c>
      <c r="C271" s="175">
        <v>4</v>
      </c>
      <c r="D271" s="175">
        <v>2</v>
      </c>
      <c r="E271" s="175"/>
      <c r="F271" s="175"/>
      <c r="G271" s="175"/>
      <c r="H271" s="175"/>
      <c r="I271" s="174"/>
      <c r="J271" s="174"/>
      <c r="K271" s="174"/>
      <c r="L271" s="174"/>
      <c r="M271" s="174"/>
      <c r="N271" s="174"/>
      <c r="O271" s="174"/>
      <c r="P271" s="174"/>
      <c r="Q271" s="174"/>
      <c r="R271" s="174"/>
      <c r="S271" s="174"/>
      <c r="T271" s="174"/>
      <c r="U271" s="174"/>
      <c r="V271" s="174"/>
      <c r="W271" s="174"/>
      <c r="X271" s="174"/>
      <c r="Y271" s="174"/>
    </row>
    <row r="272" spans="1:25" x14ac:dyDescent="0.25">
      <c r="A272" s="175" t="str">
        <f>wp_spear&amp;" "&amp;10</f>
        <v>Spear 10</v>
      </c>
      <c r="B272" s="175">
        <v>4</v>
      </c>
      <c r="C272" s="175">
        <v>4</v>
      </c>
      <c r="D272" s="175">
        <v>3</v>
      </c>
      <c r="E272" s="175"/>
      <c r="F272" s="175"/>
      <c r="G272" s="175"/>
      <c r="H272" s="175"/>
      <c r="I272" s="174"/>
      <c r="J272" s="174"/>
      <c r="K272" s="174"/>
      <c r="L272" s="174"/>
      <c r="M272" s="174"/>
      <c r="N272" s="174"/>
      <c r="O272" s="174"/>
      <c r="P272" s="174"/>
      <c r="Q272" s="174"/>
      <c r="R272" s="174"/>
      <c r="S272" s="174"/>
      <c r="T272" s="174"/>
      <c r="U272" s="174"/>
      <c r="V272" s="174"/>
      <c r="W272" s="174"/>
      <c r="X272" s="174"/>
      <c r="Y272" s="174"/>
    </row>
    <row r="273" spans="1:25" x14ac:dyDescent="0.25">
      <c r="A273" s="175" t="str">
        <f>wp_spear&amp;" "&amp;11</f>
        <v>Spear 11</v>
      </c>
      <c r="B273" s="175">
        <v>5</v>
      </c>
      <c r="C273" s="175">
        <v>5</v>
      </c>
      <c r="D273" s="175">
        <v>3</v>
      </c>
      <c r="E273" s="175"/>
      <c r="F273" s="175"/>
      <c r="G273" s="175"/>
      <c r="H273" s="175"/>
      <c r="I273" s="174"/>
      <c r="J273" s="174"/>
      <c r="K273" s="174"/>
      <c r="L273" s="174"/>
      <c r="M273" s="174"/>
      <c r="N273" s="174"/>
      <c r="O273" s="174"/>
      <c r="P273" s="174"/>
      <c r="Q273" s="174"/>
      <c r="R273" s="174"/>
      <c r="S273" s="174"/>
      <c r="T273" s="174"/>
      <c r="U273" s="174"/>
      <c r="V273" s="174"/>
      <c r="W273" s="174"/>
      <c r="X273" s="174"/>
      <c r="Y273" s="174"/>
    </row>
    <row r="274" spans="1:25" x14ac:dyDescent="0.25">
      <c r="A274" s="175" t="str">
        <f>wp_spear&amp;" "&amp;12</f>
        <v>Spear 12</v>
      </c>
      <c r="B274" s="175">
        <v>5</v>
      </c>
      <c r="C274" s="175">
        <v>5</v>
      </c>
      <c r="D274" s="175">
        <v>3</v>
      </c>
      <c r="E274" s="175"/>
      <c r="F274" s="175"/>
      <c r="G274" s="175"/>
      <c r="H274" s="175"/>
      <c r="I274" s="174"/>
      <c r="J274" s="174"/>
      <c r="K274" s="174"/>
      <c r="L274" s="174"/>
      <c r="M274" s="174"/>
      <c r="N274" s="174"/>
      <c r="O274" s="174"/>
      <c r="P274" s="174"/>
      <c r="Q274" s="174"/>
      <c r="R274" s="174"/>
      <c r="S274" s="174"/>
      <c r="T274" s="174"/>
      <c r="U274" s="174"/>
      <c r="V274" s="174"/>
      <c r="W274" s="174"/>
      <c r="X274" s="174"/>
      <c r="Y274" s="174"/>
    </row>
    <row r="275" spans="1:25" x14ac:dyDescent="0.25">
      <c r="A275" s="175" t="str">
        <f>wp_spear&amp;" "&amp;13</f>
        <v>Spear 13</v>
      </c>
      <c r="B275" s="175">
        <v>6</v>
      </c>
      <c r="C275" s="175">
        <v>6</v>
      </c>
      <c r="D275" s="175">
        <v>3</v>
      </c>
      <c r="E275" s="175"/>
      <c r="F275" s="175"/>
      <c r="G275" s="175"/>
      <c r="H275" s="175"/>
      <c r="I275" s="174"/>
      <c r="J275" s="174"/>
      <c r="K275" s="174"/>
      <c r="L275" s="174"/>
      <c r="M275" s="174"/>
      <c r="N275" s="174"/>
      <c r="O275" s="174"/>
      <c r="P275" s="174"/>
      <c r="Q275" s="174"/>
      <c r="R275" s="174"/>
      <c r="S275" s="174"/>
      <c r="T275" s="174"/>
      <c r="U275" s="174"/>
      <c r="V275" s="174"/>
      <c r="W275" s="174"/>
      <c r="X275" s="174"/>
      <c r="Y275" s="174"/>
    </row>
    <row r="276" spans="1:25" x14ac:dyDescent="0.25">
      <c r="A276" s="175" t="str">
        <f>wp_spear&amp;" "&amp;14</f>
        <v>Spear 14</v>
      </c>
      <c r="B276" s="175">
        <v>6</v>
      </c>
      <c r="C276" s="175">
        <v>6</v>
      </c>
      <c r="D276" s="175">
        <v>4</v>
      </c>
      <c r="E276" s="175"/>
      <c r="F276" s="175"/>
      <c r="G276" s="175"/>
      <c r="H276" s="175"/>
      <c r="I276" s="174"/>
      <c r="J276" s="174"/>
      <c r="K276" s="174"/>
      <c r="L276" s="174"/>
      <c r="M276" s="174"/>
      <c r="N276" s="174"/>
      <c r="O276" s="174"/>
      <c r="P276" s="174"/>
      <c r="Q276" s="174"/>
      <c r="R276" s="174"/>
      <c r="S276" s="174"/>
      <c r="T276" s="174"/>
      <c r="U276" s="174"/>
      <c r="V276" s="174"/>
      <c r="W276" s="174"/>
      <c r="X276" s="174"/>
      <c r="Y276" s="174"/>
    </row>
    <row r="277" spans="1:25" x14ac:dyDescent="0.25">
      <c r="A277" s="175" t="str">
        <f>wp_spear&amp;" "&amp;15</f>
        <v>Spear 15</v>
      </c>
      <c r="B277" s="175">
        <v>6</v>
      </c>
      <c r="C277" s="175">
        <v>6</v>
      </c>
      <c r="D277" s="175">
        <v>4</v>
      </c>
      <c r="E277" s="175"/>
      <c r="F277" s="175"/>
      <c r="G277" s="175"/>
      <c r="H277" s="175"/>
      <c r="I277" s="174"/>
      <c r="J277" s="174"/>
      <c r="K277" s="174"/>
      <c r="L277" s="174"/>
      <c r="M277" s="174"/>
      <c r="N277" s="174"/>
      <c r="O277" s="174"/>
      <c r="P277" s="174"/>
      <c r="Q277" s="174"/>
      <c r="R277" s="174"/>
      <c r="S277" s="174"/>
      <c r="T277" s="174"/>
      <c r="U277" s="174"/>
      <c r="V277" s="174"/>
      <c r="W277" s="174"/>
      <c r="X277" s="174"/>
      <c r="Y277" s="174"/>
    </row>
    <row r="278" spans="1:25" x14ac:dyDescent="0.25">
      <c r="A278" s="175" t="str">
        <f>wp_staff&amp;" "&amp;1</f>
        <v>Staff 1</v>
      </c>
      <c r="B278" s="175">
        <v>1</v>
      </c>
      <c r="C278" s="175">
        <v>1</v>
      </c>
      <c r="D278" s="175"/>
      <c r="E278" s="175"/>
      <c r="F278" s="175"/>
      <c r="G278" s="175"/>
      <c r="H278" s="175"/>
      <c r="I278" s="174"/>
      <c r="J278" s="174"/>
      <c r="K278" s="174"/>
      <c r="L278" s="174"/>
      <c r="M278" s="174"/>
      <c r="N278" s="174"/>
      <c r="O278" s="174"/>
      <c r="P278" s="174"/>
      <c r="Q278" s="174"/>
      <c r="R278" s="174"/>
      <c r="S278" s="174"/>
      <c r="T278" s="174"/>
      <c r="U278" s="174"/>
      <c r="V278" s="174"/>
      <c r="W278" s="174"/>
      <c r="X278" s="174"/>
      <c r="Y278" s="174"/>
    </row>
    <row r="279" spans="1:25" x14ac:dyDescent="0.25">
      <c r="A279" s="175" t="str">
        <f>wp_staff&amp;" "&amp;2</f>
        <v>Staff 2</v>
      </c>
      <c r="B279" s="175">
        <v>1</v>
      </c>
      <c r="C279" s="175">
        <v>1</v>
      </c>
      <c r="D279" s="175"/>
      <c r="E279" s="175"/>
      <c r="F279" s="175"/>
      <c r="G279" s="175"/>
      <c r="H279" s="175"/>
      <c r="I279" s="174"/>
      <c r="J279" s="174"/>
      <c r="K279" s="174"/>
      <c r="L279" s="174"/>
      <c r="M279" s="174"/>
      <c r="N279" s="174"/>
      <c r="O279" s="174"/>
      <c r="P279" s="174"/>
      <c r="Q279" s="174"/>
      <c r="R279" s="174"/>
      <c r="S279" s="174"/>
      <c r="T279" s="174"/>
      <c r="U279" s="174"/>
      <c r="V279" s="174"/>
      <c r="W279" s="174"/>
      <c r="X279" s="174"/>
      <c r="Y279" s="174"/>
    </row>
    <row r="280" spans="1:25" x14ac:dyDescent="0.25">
      <c r="A280" s="175" t="str">
        <f>wp_staff&amp;" "&amp;3</f>
        <v>Staff 3</v>
      </c>
      <c r="B280" s="175">
        <v>2</v>
      </c>
      <c r="C280" s="175">
        <v>2</v>
      </c>
      <c r="D280" s="175"/>
      <c r="E280" s="175"/>
      <c r="F280" s="175"/>
      <c r="G280" s="175"/>
      <c r="H280" s="175"/>
      <c r="I280" s="174"/>
      <c r="J280" s="174"/>
      <c r="K280" s="174"/>
      <c r="L280" s="174"/>
      <c r="M280" s="174"/>
      <c r="N280" s="174"/>
      <c r="O280" s="174"/>
      <c r="P280" s="174"/>
      <c r="Q280" s="174"/>
      <c r="R280" s="174"/>
      <c r="S280" s="174"/>
      <c r="T280" s="174"/>
      <c r="U280" s="174"/>
      <c r="V280" s="174"/>
      <c r="W280" s="174"/>
      <c r="X280" s="174"/>
      <c r="Y280" s="174"/>
    </row>
    <row r="281" spans="1:25" x14ac:dyDescent="0.25">
      <c r="A281" s="175" t="str">
        <f>wp_staff&amp;" "&amp;4</f>
        <v>Staff 4</v>
      </c>
      <c r="B281" s="175">
        <v>2</v>
      </c>
      <c r="C281" s="175">
        <v>2</v>
      </c>
      <c r="D281" s="175"/>
      <c r="E281" s="175"/>
      <c r="F281" s="175"/>
      <c r="G281" s="175"/>
      <c r="H281" s="175"/>
      <c r="I281" s="174"/>
      <c r="J281" s="174"/>
      <c r="K281" s="174"/>
      <c r="L281" s="174"/>
      <c r="M281" s="174"/>
      <c r="N281" s="174"/>
      <c r="O281" s="174"/>
      <c r="P281" s="174"/>
      <c r="Q281" s="174"/>
      <c r="R281" s="174"/>
      <c r="S281" s="174"/>
      <c r="T281" s="174"/>
      <c r="U281" s="174"/>
      <c r="V281" s="174"/>
      <c r="W281" s="174"/>
      <c r="X281" s="174"/>
      <c r="Y281" s="174"/>
    </row>
    <row r="282" spans="1:25" x14ac:dyDescent="0.25">
      <c r="A282" s="175" t="str">
        <f>wp_staff&amp;" "&amp;5</f>
        <v>Staff 5</v>
      </c>
      <c r="B282" s="175">
        <v>2</v>
      </c>
      <c r="C282" s="175">
        <v>2</v>
      </c>
      <c r="D282" s="175">
        <v>1</v>
      </c>
      <c r="E282" s="175"/>
      <c r="F282" s="175"/>
      <c r="G282" s="175"/>
      <c r="H282" s="175"/>
      <c r="I282" s="174"/>
      <c r="J282" s="174"/>
      <c r="K282" s="174"/>
      <c r="L282" s="174"/>
      <c r="M282" s="174"/>
      <c r="N282" s="174"/>
      <c r="O282" s="174"/>
      <c r="P282" s="174"/>
      <c r="Q282" s="174"/>
      <c r="R282" s="174"/>
      <c r="S282" s="174"/>
      <c r="T282" s="174"/>
      <c r="U282" s="174"/>
      <c r="V282" s="174"/>
      <c r="W282" s="174"/>
      <c r="X282" s="174"/>
      <c r="Y282" s="174"/>
    </row>
    <row r="283" spans="1:25" x14ac:dyDescent="0.25">
      <c r="A283" s="175" t="str">
        <f>wp_staff&amp;" "&amp;6</f>
        <v>Staff 6</v>
      </c>
      <c r="B283" s="175">
        <v>2</v>
      </c>
      <c r="C283" s="175">
        <v>2</v>
      </c>
      <c r="D283" s="175">
        <v>1</v>
      </c>
      <c r="E283" s="175"/>
      <c r="F283" s="175"/>
      <c r="G283" s="175"/>
      <c r="H283" s="175"/>
      <c r="I283" s="174"/>
      <c r="J283" s="174"/>
      <c r="K283" s="174"/>
      <c r="L283" s="174"/>
      <c r="M283" s="174"/>
      <c r="N283" s="174"/>
      <c r="O283" s="174"/>
      <c r="P283" s="174"/>
      <c r="Q283" s="174"/>
      <c r="R283" s="174"/>
      <c r="S283" s="174"/>
      <c r="T283" s="174"/>
      <c r="U283" s="174"/>
      <c r="V283" s="174"/>
      <c r="W283" s="174"/>
      <c r="X283" s="174"/>
      <c r="Y283" s="174"/>
    </row>
    <row r="284" spans="1:25" x14ac:dyDescent="0.25">
      <c r="A284" s="175" t="str">
        <f>wp_staff&amp;" "&amp;7</f>
        <v>Staff 7</v>
      </c>
      <c r="B284" s="175">
        <v>3</v>
      </c>
      <c r="C284" s="175">
        <v>3</v>
      </c>
      <c r="D284" s="175">
        <v>1</v>
      </c>
      <c r="E284" s="175"/>
      <c r="F284" s="175"/>
      <c r="G284" s="175"/>
      <c r="H284" s="175"/>
      <c r="I284" s="174"/>
      <c r="J284" s="174"/>
      <c r="K284" s="174"/>
      <c r="L284" s="174"/>
      <c r="M284" s="174"/>
      <c r="N284" s="174"/>
      <c r="O284" s="174"/>
      <c r="P284" s="174"/>
      <c r="Q284" s="174"/>
      <c r="R284" s="174"/>
      <c r="S284" s="174"/>
      <c r="T284" s="174"/>
      <c r="U284" s="174"/>
      <c r="V284" s="174"/>
      <c r="W284" s="174"/>
      <c r="X284" s="174"/>
      <c r="Y284" s="174"/>
    </row>
    <row r="285" spans="1:25" x14ac:dyDescent="0.25">
      <c r="A285" s="175" t="str">
        <f>wp_staff&amp;" "&amp;8</f>
        <v>Staff 8</v>
      </c>
      <c r="B285" s="175">
        <v>3</v>
      </c>
      <c r="C285" s="175">
        <v>3</v>
      </c>
      <c r="D285" s="175">
        <v>1</v>
      </c>
      <c r="E285" s="175"/>
      <c r="F285" s="175"/>
      <c r="G285" s="175"/>
      <c r="H285" s="175"/>
      <c r="I285" s="174"/>
      <c r="J285" s="174"/>
      <c r="K285" s="174"/>
      <c r="L285" s="174"/>
      <c r="M285" s="174"/>
      <c r="N285" s="174"/>
      <c r="O285" s="174"/>
      <c r="P285" s="174"/>
      <c r="Q285" s="174"/>
      <c r="R285" s="174"/>
      <c r="S285" s="174"/>
      <c r="T285" s="174"/>
      <c r="U285" s="174"/>
      <c r="V285" s="174"/>
      <c r="W285" s="174"/>
      <c r="X285" s="174"/>
      <c r="Y285" s="174"/>
    </row>
    <row r="286" spans="1:25" x14ac:dyDescent="0.25">
      <c r="A286" s="175" t="str">
        <f>wp_staff&amp;" "&amp;9</f>
        <v>Staff 9</v>
      </c>
      <c r="B286" s="175">
        <v>3</v>
      </c>
      <c r="C286" s="175">
        <v>3</v>
      </c>
      <c r="D286" s="175">
        <v>1</v>
      </c>
      <c r="E286" s="175"/>
      <c r="F286" s="175"/>
      <c r="G286" s="175"/>
      <c r="H286" s="175"/>
      <c r="I286" s="174"/>
      <c r="J286" s="174"/>
      <c r="K286" s="174"/>
      <c r="L286" s="174"/>
      <c r="M286" s="174"/>
      <c r="N286" s="174"/>
      <c r="O286" s="174"/>
      <c r="P286" s="174"/>
      <c r="Q286" s="174"/>
      <c r="R286" s="174"/>
      <c r="S286" s="174"/>
      <c r="T286" s="174"/>
      <c r="U286" s="174"/>
      <c r="V286" s="174"/>
      <c r="W286" s="174"/>
      <c r="X286" s="174"/>
      <c r="Y286" s="174"/>
    </row>
    <row r="287" spans="1:25" x14ac:dyDescent="0.25">
      <c r="A287" s="175" t="str">
        <f>wp_staff&amp;" "&amp;10</f>
        <v>Staff 10</v>
      </c>
      <c r="B287" s="175">
        <v>4</v>
      </c>
      <c r="C287" s="175">
        <v>4</v>
      </c>
      <c r="D287" s="175">
        <v>2</v>
      </c>
      <c r="E287" s="175"/>
      <c r="F287" s="175"/>
      <c r="G287" s="175"/>
      <c r="H287" s="175"/>
      <c r="I287" s="174"/>
      <c r="J287" s="174"/>
      <c r="K287" s="174"/>
      <c r="L287" s="174"/>
      <c r="M287" s="174"/>
      <c r="N287" s="174"/>
      <c r="O287" s="174"/>
      <c r="P287" s="174"/>
      <c r="Q287" s="174"/>
      <c r="R287" s="174"/>
      <c r="S287" s="174"/>
      <c r="T287" s="174"/>
      <c r="U287" s="174"/>
      <c r="V287" s="174"/>
      <c r="W287" s="174"/>
      <c r="X287" s="174"/>
      <c r="Y287" s="174"/>
    </row>
    <row r="288" spans="1:25" x14ac:dyDescent="0.25">
      <c r="A288" s="175" t="str">
        <f>wp_staff&amp;" "&amp;11</f>
        <v>Staff 11</v>
      </c>
      <c r="B288" s="175">
        <v>4</v>
      </c>
      <c r="C288" s="175">
        <v>4</v>
      </c>
      <c r="D288" s="175">
        <v>2</v>
      </c>
      <c r="E288" s="175"/>
      <c r="F288" s="175"/>
      <c r="G288" s="175"/>
      <c r="H288" s="175"/>
      <c r="I288" s="174"/>
      <c r="J288" s="174"/>
      <c r="K288" s="174"/>
      <c r="L288" s="174"/>
      <c r="M288" s="174"/>
      <c r="N288" s="174"/>
      <c r="O288" s="174"/>
      <c r="P288" s="174"/>
      <c r="Q288" s="174"/>
      <c r="R288" s="174"/>
      <c r="S288" s="174"/>
      <c r="T288" s="174"/>
      <c r="U288" s="174"/>
      <c r="V288" s="174"/>
      <c r="W288" s="174"/>
      <c r="X288" s="174"/>
      <c r="Y288" s="174"/>
    </row>
    <row r="289" spans="1:25" x14ac:dyDescent="0.25">
      <c r="A289" s="175" t="str">
        <f>wp_staff&amp;" "&amp;12</f>
        <v>Staff 12</v>
      </c>
      <c r="B289" s="175">
        <v>4</v>
      </c>
      <c r="C289" s="175">
        <v>4</v>
      </c>
      <c r="D289" s="175">
        <v>2</v>
      </c>
      <c r="E289" s="175"/>
      <c r="F289" s="175"/>
      <c r="G289" s="175"/>
      <c r="H289" s="175"/>
      <c r="I289" s="174"/>
      <c r="J289" s="174"/>
      <c r="K289" s="174"/>
      <c r="L289" s="174"/>
      <c r="M289" s="174"/>
      <c r="N289" s="174"/>
      <c r="O289" s="174"/>
      <c r="P289" s="174"/>
      <c r="Q289" s="174"/>
      <c r="R289" s="174"/>
      <c r="S289" s="174"/>
      <c r="T289" s="174"/>
      <c r="U289" s="174"/>
      <c r="V289" s="174"/>
      <c r="W289" s="174"/>
      <c r="X289" s="174"/>
      <c r="Y289" s="174"/>
    </row>
    <row r="290" spans="1:25" x14ac:dyDescent="0.25">
      <c r="A290" s="175" t="str">
        <f>wp_staff&amp;" "&amp;13</f>
        <v>Staff 13</v>
      </c>
      <c r="B290" s="175">
        <v>5</v>
      </c>
      <c r="C290" s="175">
        <v>5</v>
      </c>
      <c r="D290" s="175">
        <v>2</v>
      </c>
      <c r="E290" s="175"/>
      <c r="F290" s="175"/>
      <c r="G290" s="175"/>
      <c r="H290" s="175"/>
      <c r="I290" s="174"/>
      <c r="J290" s="174"/>
      <c r="K290" s="174"/>
      <c r="L290" s="174"/>
      <c r="M290" s="174"/>
      <c r="N290" s="174"/>
      <c r="O290" s="174"/>
      <c r="P290" s="174"/>
      <c r="Q290" s="174"/>
      <c r="R290" s="174"/>
      <c r="S290" s="174"/>
      <c r="T290" s="174"/>
      <c r="U290" s="174"/>
      <c r="V290" s="174"/>
      <c r="W290" s="174"/>
      <c r="X290" s="174"/>
      <c r="Y290" s="174"/>
    </row>
    <row r="291" spans="1:25" x14ac:dyDescent="0.25">
      <c r="A291" s="175" t="str">
        <f>wp_staff&amp;" "&amp;14</f>
        <v>Staff 14</v>
      </c>
      <c r="B291" s="175">
        <v>5</v>
      </c>
      <c r="C291" s="175">
        <v>5</v>
      </c>
      <c r="D291" s="175">
        <v>2</v>
      </c>
      <c r="E291" s="175"/>
      <c r="F291" s="175"/>
      <c r="G291" s="175"/>
      <c r="H291" s="175"/>
      <c r="I291" s="174"/>
      <c r="J291" s="174"/>
      <c r="K291" s="174"/>
      <c r="L291" s="174"/>
      <c r="M291" s="174"/>
      <c r="N291" s="174"/>
      <c r="O291" s="174"/>
      <c r="P291" s="174"/>
      <c r="Q291" s="174"/>
      <c r="R291" s="174"/>
      <c r="S291" s="174"/>
      <c r="T291" s="174"/>
      <c r="U291" s="174"/>
      <c r="V291" s="174"/>
      <c r="W291" s="174"/>
      <c r="X291" s="174"/>
      <c r="Y291" s="174"/>
    </row>
    <row r="292" spans="1:25" x14ac:dyDescent="0.25">
      <c r="A292" s="175" t="str">
        <f>wp_staff&amp;" "&amp;15</f>
        <v>Staff 15</v>
      </c>
      <c r="B292" s="175">
        <v>5</v>
      </c>
      <c r="C292" s="175">
        <v>5</v>
      </c>
      <c r="D292" s="175">
        <v>3</v>
      </c>
      <c r="E292" s="175"/>
      <c r="F292" s="175"/>
      <c r="G292" s="175"/>
      <c r="H292" s="175"/>
      <c r="I292" s="174"/>
      <c r="J292" s="174"/>
      <c r="K292" s="174"/>
      <c r="L292" s="174"/>
      <c r="M292" s="174"/>
      <c r="N292" s="174"/>
      <c r="O292" s="174"/>
      <c r="P292" s="174"/>
      <c r="Q292" s="174"/>
      <c r="R292" s="174"/>
      <c r="S292" s="174"/>
      <c r="T292" s="174"/>
      <c r="U292" s="174"/>
      <c r="V292" s="174"/>
      <c r="W292" s="174"/>
      <c r="X292" s="174"/>
      <c r="Y292" s="174"/>
    </row>
    <row r="293" spans="1:25" x14ac:dyDescent="0.25">
      <c r="A293" s="175" t="str">
        <f>wp_sword&amp;" "&amp;1</f>
        <v>Sword 1</v>
      </c>
      <c r="B293" s="175">
        <v>1</v>
      </c>
      <c r="C293" s="175"/>
      <c r="D293" s="175"/>
      <c r="E293" s="175"/>
      <c r="F293" s="175"/>
      <c r="G293" s="175"/>
      <c r="H293" s="175"/>
      <c r="I293" s="174"/>
      <c r="J293" s="174"/>
      <c r="K293" s="174"/>
      <c r="L293" s="174"/>
      <c r="M293" s="174"/>
      <c r="N293" s="174"/>
      <c r="O293" s="174"/>
      <c r="P293" s="174"/>
      <c r="Q293" s="174"/>
      <c r="R293" s="174"/>
      <c r="S293" s="174"/>
      <c r="T293" s="174"/>
      <c r="U293" s="174"/>
      <c r="V293" s="174"/>
      <c r="W293" s="174"/>
      <c r="X293" s="174"/>
      <c r="Y293" s="174"/>
    </row>
    <row r="294" spans="1:25" x14ac:dyDescent="0.25">
      <c r="A294" s="175" t="str">
        <f>wp_sword&amp;" "&amp;2</f>
        <v>Sword 2</v>
      </c>
      <c r="B294" s="175">
        <v>1</v>
      </c>
      <c r="C294" s="175">
        <v>1</v>
      </c>
      <c r="D294" s="175"/>
      <c r="E294" s="175"/>
      <c r="F294" s="175"/>
      <c r="G294" s="175"/>
      <c r="H294" s="175"/>
      <c r="I294" s="174"/>
      <c r="J294" s="174"/>
      <c r="K294" s="174"/>
      <c r="L294" s="174"/>
      <c r="M294" s="174"/>
      <c r="N294" s="174"/>
      <c r="O294" s="174"/>
      <c r="P294" s="174"/>
      <c r="Q294" s="174"/>
      <c r="R294" s="174"/>
      <c r="S294" s="174"/>
      <c r="T294" s="174"/>
      <c r="U294" s="174"/>
      <c r="V294" s="174"/>
      <c r="W294" s="174"/>
      <c r="X294" s="174"/>
      <c r="Y294" s="174"/>
    </row>
    <row r="295" spans="1:25" x14ac:dyDescent="0.25">
      <c r="A295" s="175" t="str">
        <f>wp_sword&amp;" "&amp;3</f>
        <v>Sword 3</v>
      </c>
      <c r="B295" s="175">
        <v>2</v>
      </c>
      <c r="C295" s="175">
        <v>1</v>
      </c>
      <c r="D295" s="175"/>
      <c r="E295" s="175"/>
      <c r="F295" s="175"/>
      <c r="G295" s="175"/>
      <c r="H295" s="175"/>
      <c r="I295" s="174"/>
      <c r="J295" s="174"/>
      <c r="K295" s="174"/>
      <c r="L295" s="174"/>
      <c r="M295" s="174"/>
      <c r="N295" s="174"/>
      <c r="O295" s="174"/>
      <c r="P295" s="174"/>
      <c r="Q295" s="174"/>
      <c r="R295" s="174"/>
      <c r="S295" s="174"/>
      <c r="T295" s="174"/>
      <c r="U295" s="174"/>
      <c r="V295" s="174"/>
      <c r="W295" s="174"/>
      <c r="X295" s="174"/>
      <c r="Y295" s="174"/>
    </row>
    <row r="296" spans="1:25" x14ac:dyDescent="0.25">
      <c r="A296" s="175" t="str">
        <f>wp_sword&amp;" "&amp;4</f>
        <v>Sword 4</v>
      </c>
      <c r="B296" s="175">
        <v>2</v>
      </c>
      <c r="C296" s="175">
        <v>2</v>
      </c>
      <c r="D296" s="175">
        <v>1</v>
      </c>
      <c r="E296" s="175"/>
      <c r="F296" s="175"/>
      <c r="G296" s="175"/>
      <c r="H296" s="175"/>
      <c r="I296" s="174"/>
      <c r="J296" s="174"/>
      <c r="K296" s="174"/>
      <c r="L296" s="174"/>
      <c r="M296" s="174"/>
      <c r="N296" s="174"/>
      <c r="O296" s="174"/>
      <c r="P296" s="174"/>
      <c r="Q296" s="174"/>
      <c r="R296" s="174"/>
      <c r="S296" s="174"/>
      <c r="T296" s="174"/>
      <c r="U296" s="174"/>
      <c r="V296" s="174"/>
      <c r="W296" s="174"/>
      <c r="X296" s="174"/>
      <c r="Y296" s="174"/>
    </row>
    <row r="297" spans="1:25" x14ac:dyDescent="0.25">
      <c r="A297" s="175" t="str">
        <f>wp_sword&amp;" "&amp;5</f>
        <v>Sword 5</v>
      </c>
      <c r="B297" s="175">
        <v>2</v>
      </c>
      <c r="C297" s="175">
        <v>2</v>
      </c>
      <c r="D297" s="175">
        <v>1</v>
      </c>
      <c r="E297" s="175"/>
      <c r="F297" s="175"/>
      <c r="G297" s="175"/>
      <c r="H297" s="175"/>
      <c r="I297" s="174"/>
      <c r="J297" s="174"/>
      <c r="K297" s="174"/>
      <c r="L297" s="174"/>
      <c r="M297" s="174"/>
      <c r="N297" s="174"/>
      <c r="O297" s="174"/>
      <c r="P297" s="174"/>
      <c r="Q297" s="174"/>
      <c r="R297" s="174"/>
      <c r="S297" s="174"/>
      <c r="T297" s="174"/>
      <c r="U297" s="174"/>
      <c r="V297" s="174"/>
      <c r="W297" s="174"/>
      <c r="X297" s="174"/>
      <c r="Y297" s="174"/>
    </row>
    <row r="298" spans="1:25" x14ac:dyDescent="0.25">
      <c r="A298" s="175" t="str">
        <f>wp_sword&amp;" "&amp;6</f>
        <v>Sword 6</v>
      </c>
      <c r="B298" s="175">
        <v>3</v>
      </c>
      <c r="C298" s="175">
        <v>2</v>
      </c>
      <c r="D298" s="175">
        <v>1</v>
      </c>
      <c r="E298" s="175"/>
      <c r="F298" s="175"/>
      <c r="G298" s="175"/>
      <c r="H298" s="175"/>
      <c r="I298" s="174"/>
      <c r="J298" s="174"/>
      <c r="K298" s="174"/>
      <c r="L298" s="174"/>
      <c r="M298" s="174"/>
      <c r="N298" s="174"/>
      <c r="O298" s="174"/>
      <c r="P298" s="174"/>
      <c r="Q298" s="174"/>
      <c r="R298" s="174"/>
      <c r="S298" s="174"/>
      <c r="T298" s="174"/>
      <c r="U298" s="174"/>
      <c r="V298" s="174"/>
      <c r="W298" s="174"/>
      <c r="X298" s="174"/>
      <c r="Y298" s="174"/>
    </row>
    <row r="299" spans="1:25" x14ac:dyDescent="0.25">
      <c r="A299" s="175" t="str">
        <f>wp_sword&amp;" "&amp;7</f>
        <v>Sword 7</v>
      </c>
      <c r="B299" s="175">
        <v>3</v>
      </c>
      <c r="C299" s="175">
        <v>3</v>
      </c>
      <c r="D299" s="175">
        <v>1</v>
      </c>
      <c r="E299" s="175"/>
      <c r="F299" s="175"/>
      <c r="G299" s="175"/>
      <c r="H299" s="175"/>
      <c r="I299" s="174"/>
      <c r="J299" s="174"/>
      <c r="K299" s="174"/>
      <c r="L299" s="174"/>
      <c r="M299" s="174"/>
      <c r="N299" s="174"/>
      <c r="O299" s="174"/>
      <c r="P299" s="174"/>
      <c r="Q299" s="174"/>
      <c r="R299" s="174"/>
      <c r="S299" s="174"/>
      <c r="T299" s="174"/>
      <c r="U299" s="174"/>
      <c r="V299" s="174"/>
      <c r="W299" s="174"/>
      <c r="X299" s="174"/>
      <c r="Y299" s="174"/>
    </row>
    <row r="300" spans="1:25" x14ac:dyDescent="0.25">
      <c r="A300" s="175" t="str">
        <f>wp_sword&amp;" "&amp;8</f>
        <v>Sword 8</v>
      </c>
      <c r="B300" s="175">
        <v>3</v>
      </c>
      <c r="C300" s="175">
        <v>3</v>
      </c>
      <c r="D300" s="175">
        <v>2</v>
      </c>
      <c r="E300" s="175"/>
      <c r="F300" s="175"/>
      <c r="G300" s="175"/>
      <c r="H300" s="175"/>
      <c r="I300" s="174"/>
      <c r="J300" s="174"/>
      <c r="K300" s="174"/>
      <c r="L300" s="174"/>
      <c r="M300" s="174"/>
      <c r="N300" s="174"/>
      <c r="O300" s="174"/>
      <c r="P300" s="174"/>
      <c r="Q300" s="174"/>
      <c r="R300" s="174"/>
      <c r="S300" s="174"/>
      <c r="T300" s="174"/>
      <c r="U300" s="174"/>
      <c r="V300" s="174"/>
      <c r="W300" s="174"/>
      <c r="X300" s="174"/>
      <c r="Y300" s="174"/>
    </row>
    <row r="301" spans="1:25" x14ac:dyDescent="0.25">
      <c r="A301" s="175" t="str">
        <f>wp_sword&amp;" "&amp;9</f>
        <v>Sword 9</v>
      </c>
      <c r="B301" s="175">
        <v>4</v>
      </c>
      <c r="C301" s="175">
        <v>3</v>
      </c>
      <c r="D301" s="175">
        <v>2</v>
      </c>
      <c r="E301" s="175"/>
      <c r="F301" s="175"/>
      <c r="G301" s="175"/>
      <c r="H301" s="175"/>
      <c r="I301" s="174"/>
      <c r="J301" s="174"/>
      <c r="K301" s="174"/>
      <c r="L301" s="174"/>
      <c r="M301" s="174"/>
      <c r="N301" s="174"/>
      <c r="O301" s="174"/>
      <c r="P301" s="174"/>
      <c r="Q301" s="174"/>
      <c r="R301" s="174"/>
      <c r="S301" s="174"/>
      <c r="T301" s="174"/>
      <c r="U301" s="174"/>
      <c r="V301" s="174"/>
      <c r="W301" s="174"/>
      <c r="X301" s="174"/>
      <c r="Y301" s="174"/>
    </row>
    <row r="302" spans="1:25" x14ac:dyDescent="0.25">
      <c r="A302" s="175" t="str">
        <f>wp_sword&amp;" "&amp;10</f>
        <v>Sword 10</v>
      </c>
      <c r="B302" s="175">
        <v>4</v>
      </c>
      <c r="C302" s="175">
        <v>4</v>
      </c>
      <c r="D302" s="175">
        <v>2</v>
      </c>
      <c r="E302" s="175"/>
      <c r="F302" s="175"/>
      <c r="G302" s="175"/>
      <c r="H302" s="175"/>
      <c r="I302" s="174"/>
      <c r="J302" s="174"/>
      <c r="K302" s="174"/>
      <c r="L302" s="174"/>
      <c r="M302" s="174"/>
      <c r="N302" s="174"/>
      <c r="O302" s="174"/>
      <c r="P302" s="174"/>
      <c r="Q302" s="174"/>
      <c r="R302" s="174"/>
      <c r="S302" s="174"/>
      <c r="T302" s="174"/>
      <c r="U302" s="174"/>
      <c r="V302" s="174"/>
      <c r="W302" s="174"/>
      <c r="X302" s="174"/>
      <c r="Y302" s="174"/>
    </row>
    <row r="303" spans="1:25" x14ac:dyDescent="0.25">
      <c r="A303" s="175" t="str">
        <f>wp_sword&amp;" "&amp;11</f>
        <v>Sword 11</v>
      </c>
      <c r="B303" s="175">
        <v>4</v>
      </c>
      <c r="C303" s="175">
        <v>4</v>
      </c>
      <c r="D303" s="175">
        <v>2</v>
      </c>
      <c r="E303" s="175"/>
      <c r="F303" s="175"/>
      <c r="G303" s="175"/>
      <c r="H303" s="175"/>
      <c r="I303" s="174"/>
      <c r="J303" s="174"/>
      <c r="K303" s="174"/>
      <c r="L303" s="174"/>
      <c r="M303" s="174"/>
      <c r="N303" s="174"/>
      <c r="O303" s="174"/>
      <c r="P303" s="174"/>
      <c r="Q303" s="174"/>
      <c r="R303" s="174"/>
      <c r="S303" s="174"/>
      <c r="T303" s="174"/>
      <c r="U303" s="174"/>
      <c r="V303" s="174"/>
      <c r="W303" s="174"/>
      <c r="X303" s="174"/>
      <c r="Y303" s="174"/>
    </row>
    <row r="304" spans="1:25" x14ac:dyDescent="0.25">
      <c r="A304" s="175" t="str">
        <f>wp_sword&amp;" "&amp;12</f>
        <v>Sword 12</v>
      </c>
      <c r="B304" s="175">
        <v>5</v>
      </c>
      <c r="C304" s="175">
        <v>4</v>
      </c>
      <c r="D304" s="175">
        <v>3</v>
      </c>
      <c r="E304" s="175"/>
      <c r="F304" s="175"/>
      <c r="G304" s="175"/>
      <c r="H304" s="175"/>
      <c r="I304" s="174"/>
      <c r="J304" s="174"/>
      <c r="K304" s="174"/>
      <c r="L304" s="174"/>
      <c r="M304" s="174"/>
      <c r="N304" s="174"/>
      <c r="O304" s="174"/>
      <c r="P304" s="174"/>
      <c r="Q304" s="174"/>
      <c r="R304" s="174"/>
      <c r="S304" s="174"/>
      <c r="T304" s="174"/>
      <c r="U304" s="174"/>
      <c r="V304" s="174"/>
      <c r="W304" s="174"/>
      <c r="X304" s="174"/>
      <c r="Y304" s="174"/>
    </row>
    <row r="305" spans="1:25" x14ac:dyDescent="0.25">
      <c r="A305" s="175" t="str">
        <f>wp_sword&amp;" "&amp;13</f>
        <v>Sword 13</v>
      </c>
      <c r="B305" s="175">
        <v>5</v>
      </c>
      <c r="C305" s="175">
        <v>5</v>
      </c>
      <c r="D305" s="175">
        <v>3</v>
      </c>
      <c r="E305" s="175"/>
      <c r="F305" s="175"/>
      <c r="G305" s="175"/>
      <c r="H305" s="175"/>
      <c r="I305" s="174"/>
      <c r="J305" s="174"/>
      <c r="K305" s="174"/>
      <c r="L305" s="174"/>
      <c r="M305" s="174"/>
      <c r="N305" s="174"/>
      <c r="O305" s="174"/>
      <c r="P305" s="174"/>
      <c r="Q305" s="174"/>
      <c r="R305" s="174"/>
      <c r="S305" s="174"/>
      <c r="T305" s="174"/>
      <c r="U305" s="174"/>
      <c r="V305" s="174"/>
      <c r="W305" s="174"/>
      <c r="X305" s="174"/>
      <c r="Y305" s="174"/>
    </row>
    <row r="306" spans="1:25" x14ac:dyDescent="0.25">
      <c r="A306" s="175" t="str">
        <f>wp_sword&amp;" "&amp;14</f>
        <v>Sword 14</v>
      </c>
      <c r="B306" s="175">
        <v>5</v>
      </c>
      <c r="C306" s="175">
        <v>5</v>
      </c>
      <c r="D306" s="175">
        <v>3</v>
      </c>
      <c r="E306" s="175"/>
      <c r="F306" s="175"/>
      <c r="G306" s="175"/>
      <c r="H306" s="175"/>
      <c r="I306" s="174"/>
      <c r="J306" s="174"/>
      <c r="K306" s="174"/>
      <c r="L306" s="174"/>
      <c r="M306" s="174"/>
      <c r="N306" s="174"/>
      <c r="O306" s="174"/>
      <c r="P306" s="174"/>
      <c r="Q306" s="174"/>
      <c r="R306" s="174"/>
      <c r="S306" s="174"/>
      <c r="T306" s="174"/>
      <c r="U306" s="174"/>
      <c r="V306" s="174"/>
      <c r="W306" s="174"/>
      <c r="X306" s="174"/>
      <c r="Y306" s="174"/>
    </row>
    <row r="307" spans="1:25" x14ac:dyDescent="0.25">
      <c r="A307" s="175" t="str">
        <f>wp_sword&amp;" "&amp;15</f>
        <v>Sword 15</v>
      </c>
      <c r="B307" s="175">
        <v>6</v>
      </c>
      <c r="C307" s="175">
        <v>5</v>
      </c>
      <c r="D307" s="175">
        <v>3</v>
      </c>
      <c r="E307" s="175"/>
      <c r="F307" s="175"/>
      <c r="G307" s="175"/>
      <c r="H307" s="175"/>
      <c r="I307" s="174"/>
      <c r="J307" s="174"/>
      <c r="K307" s="174"/>
      <c r="L307" s="174"/>
      <c r="M307" s="174"/>
      <c r="N307" s="174"/>
      <c r="O307" s="174"/>
      <c r="P307" s="174"/>
      <c r="Q307" s="174"/>
      <c r="R307" s="174"/>
      <c r="S307" s="174"/>
      <c r="T307" s="174"/>
      <c r="U307" s="174"/>
      <c r="V307" s="174"/>
      <c r="W307" s="174"/>
      <c r="X307" s="174"/>
      <c r="Y307" s="174"/>
    </row>
    <row r="308" spans="1:25" x14ac:dyDescent="0.25">
      <c r="A308" s="175" t="str">
        <f>wp_target&amp;" "&amp;1</f>
        <v>Targeting/Missile Weapons 1</v>
      </c>
      <c r="B308" s="175">
        <v>1</v>
      </c>
      <c r="C308" s="175"/>
      <c r="D308" s="175"/>
      <c r="E308" s="175"/>
      <c r="F308" s="175"/>
      <c r="G308" s="175"/>
      <c r="H308" s="175"/>
      <c r="I308" s="174"/>
      <c r="J308" s="174"/>
      <c r="K308" s="174"/>
      <c r="L308" s="174"/>
      <c r="M308" s="174"/>
      <c r="N308" s="174"/>
      <c r="O308" s="174"/>
      <c r="P308" s="174"/>
      <c r="Q308" s="174"/>
      <c r="R308" s="174"/>
      <c r="S308" s="174"/>
      <c r="T308" s="174"/>
      <c r="U308" s="174"/>
      <c r="V308" s="174"/>
      <c r="W308" s="174"/>
      <c r="X308" s="174"/>
      <c r="Y308" s="174"/>
    </row>
    <row r="309" spans="1:25" x14ac:dyDescent="0.25">
      <c r="A309" s="175" t="str">
        <f>wp_target&amp;" "&amp;2</f>
        <v>Targeting/Missile Weapons 2</v>
      </c>
      <c r="B309" s="175">
        <v>1</v>
      </c>
      <c r="C309" s="175"/>
      <c r="D309" s="175"/>
      <c r="E309" s="175"/>
      <c r="F309" s="175"/>
      <c r="G309" s="175"/>
      <c r="H309" s="175"/>
      <c r="I309" s="174"/>
      <c r="J309" s="174"/>
      <c r="K309" s="174"/>
      <c r="L309" s="174"/>
      <c r="M309" s="174"/>
      <c r="N309" s="174"/>
      <c r="O309" s="174"/>
      <c r="P309" s="174"/>
      <c r="Q309" s="174"/>
      <c r="R309" s="174"/>
      <c r="S309" s="174"/>
      <c r="T309" s="174"/>
      <c r="U309" s="174"/>
      <c r="V309" s="174"/>
      <c r="W309" s="174"/>
      <c r="X309" s="174"/>
      <c r="Y309" s="174"/>
    </row>
    <row r="310" spans="1:25" x14ac:dyDescent="0.25">
      <c r="A310" s="175" t="str">
        <f>wp_target&amp;" "&amp;3</f>
        <v>Targeting/Missile Weapons 3</v>
      </c>
      <c r="B310" s="175">
        <v>2</v>
      </c>
      <c r="C310" s="175"/>
      <c r="D310" s="175"/>
      <c r="E310" s="175"/>
      <c r="F310" s="175"/>
      <c r="G310" s="175"/>
      <c r="H310" s="175"/>
      <c r="I310" s="174"/>
      <c r="J310" s="174"/>
      <c r="K310" s="174"/>
      <c r="L310" s="174"/>
      <c r="M310" s="174"/>
      <c r="N310" s="174"/>
      <c r="O310" s="174"/>
      <c r="P310" s="174"/>
      <c r="Q310" s="174"/>
      <c r="R310" s="174"/>
      <c r="S310" s="174"/>
      <c r="T310" s="174"/>
      <c r="U310" s="174"/>
      <c r="V310" s="174"/>
      <c r="W310" s="174"/>
      <c r="X310" s="174"/>
      <c r="Y310" s="174"/>
    </row>
    <row r="311" spans="1:25" x14ac:dyDescent="0.25">
      <c r="A311" s="175" t="str">
        <f>wp_target&amp;" "&amp;4</f>
        <v>Targeting/Missile Weapons 4</v>
      </c>
      <c r="B311" s="175">
        <v>2</v>
      </c>
      <c r="C311" s="175"/>
      <c r="D311" s="175"/>
      <c r="E311" s="175"/>
      <c r="F311" s="175"/>
      <c r="G311" s="175"/>
      <c r="H311" s="175"/>
      <c r="I311" s="174"/>
      <c r="J311" s="174"/>
      <c r="K311" s="174"/>
      <c r="L311" s="174"/>
      <c r="M311" s="174"/>
      <c r="N311" s="174"/>
      <c r="O311" s="174"/>
      <c r="P311" s="174"/>
      <c r="Q311" s="174"/>
      <c r="R311" s="174"/>
      <c r="S311" s="174"/>
      <c r="T311" s="174"/>
      <c r="U311" s="174"/>
      <c r="V311" s="174"/>
      <c r="W311" s="174"/>
      <c r="X311" s="174"/>
      <c r="Y311" s="174"/>
    </row>
    <row r="312" spans="1:25" x14ac:dyDescent="0.25">
      <c r="A312" s="175" t="str">
        <f>wp_target&amp;" "&amp;5</f>
        <v>Targeting/Missile Weapons 5</v>
      </c>
      <c r="B312" s="175">
        <v>3</v>
      </c>
      <c r="C312" s="175"/>
      <c r="D312" s="175"/>
      <c r="E312" s="175"/>
      <c r="F312" s="175"/>
      <c r="G312" s="175"/>
      <c r="H312" s="175"/>
      <c r="I312" s="174"/>
      <c r="J312" s="174"/>
      <c r="K312" s="174"/>
      <c r="L312" s="174"/>
      <c r="M312" s="174"/>
      <c r="N312" s="174"/>
      <c r="O312" s="174"/>
      <c r="P312" s="174"/>
      <c r="Q312" s="174"/>
      <c r="R312" s="174"/>
      <c r="S312" s="174"/>
      <c r="T312" s="174"/>
      <c r="U312" s="174"/>
      <c r="V312" s="174"/>
      <c r="W312" s="174"/>
      <c r="X312" s="174"/>
      <c r="Y312" s="174"/>
    </row>
    <row r="313" spans="1:25" x14ac:dyDescent="0.25">
      <c r="A313" s="175" t="str">
        <f>wp_target&amp;" "&amp;6</f>
        <v>Targeting/Missile Weapons 6</v>
      </c>
      <c r="B313" s="175">
        <v>3</v>
      </c>
      <c r="C313" s="175"/>
      <c r="D313" s="175"/>
      <c r="E313" s="175"/>
      <c r="F313" s="175"/>
      <c r="G313" s="175"/>
      <c r="H313" s="175"/>
      <c r="I313" s="174"/>
      <c r="J313" s="174"/>
      <c r="K313" s="174"/>
      <c r="L313" s="174"/>
      <c r="M313" s="174"/>
      <c r="N313" s="174"/>
      <c r="O313" s="174"/>
      <c r="P313" s="174"/>
      <c r="Q313" s="174"/>
      <c r="R313" s="174"/>
      <c r="S313" s="174"/>
      <c r="T313" s="174"/>
      <c r="U313" s="174"/>
      <c r="V313" s="174"/>
      <c r="W313" s="174"/>
      <c r="X313" s="174"/>
      <c r="Y313" s="174"/>
    </row>
    <row r="314" spans="1:25" x14ac:dyDescent="0.25">
      <c r="A314" s="175" t="str">
        <f>wp_target&amp;" "&amp;7</f>
        <v>Targeting/Missile Weapons 7</v>
      </c>
      <c r="B314" s="175">
        <v>4</v>
      </c>
      <c r="C314" s="175"/>
      <c r="D314" s="175"/>
      <c r="E314" s="175"/>
      <c r="F314" s="175"/>
      <c r="G314" s="175"/>
      <c r="H314" s="175"/>
      <c r="I314" s="174"/>
      <c r="J314" s="174"/>
      <c r="K314" s="174"/>
      <c r="L314" s="174"/>
      <c r="M314" s="174"/>
      <c r="N314" s="174"/>
      <c r="O314" s="174"/>
      <c r="P314" s="174"/>
      <c r="Q314" s="174"/>
      <c r="R314" s="174"/>
      <c r="S314" s="174"/>
      <c r="T314" s="174"/>
      <c r="U314" s="174"/>
      <c r="V314" s="174"/>
      <c r="W314" s="174"/>
      <c r="X314" s="174"/>
      <c r="Y314" s="174"/>
    </row>
    <row r="315" spans="1:25" x14ac:dyDescent="0.25">
      <c r="A315" s="175" t="str">
        <f>wp_target&amp;" "&amp;8</f>
        <v>Targeting/Missile Weapons 8</v>
      </c>
      <c r="B315" s="175">
        <v>4</v>
      </c>
      <c r="C315" s="175"/>
      <c r="D315" s="175"/>
      <c r="E315" s="175"/>
      <c r="F315" s="175"/>
      <c r="G315" s="175"/>
      <c r="H315" s="175"/>
      <c r="I315" s="174"/>
      <c r="J315" s="174"/>
      <c r="K315" s="174"/>
      <c r="L315" s="174"/>
      <c r="M315" s="174"/>
      <c r="N315" s="174"/>
      <c r="O315" s="174"/>
      <c r="P315" s="174"/>
      <c r="Q315" s="174"/>
      <c r="R315" s="174"/>
      <c r="S315" s="174"/>
      <c r="T315" s="174"/>
      <c r="U315" s="174"/>
      <c r="V315" s="174"/>
      <c r="W315" s="174"/>
      <c r="X315" s="174"/>
      <c r="Y315" s="174"/>
    </row>
    <row r="316" spans="1:25" x14ac:dyDescent="0.25">
      <c r="A316" s="175" t="str">
        <f>wp_target&amp;" "&amp;9</f>
        <v>Targeting/Missile Weapons 9</v>
      </c>
      <c r="B316" s="175">
        <v>4</v>
      </c>
      <c r="C316" s="175"/>
      <c r="D316" s="175"/>
      <c r="E316" s="175"/>
      <c r="F316" s="175"/>
      <c r="G316" s="175"/>
      <c r="H316" s="175"/>
      <c r="I316" s="174"/>
      <c r="J316" s="174"/>
      <c r="K316" s="174"/>
      <c r="L316" s="174"/>
      <c r="M316" s="174"/>
      <c r="N316" s="174"/>
      <c r="O316" s="174"/>
      <c r="P316" s="174"/>
      <c r="Q316" s="174"/>
      <c r="R316" s="174"/>
      <c r="S316" s="174"/>
      <c r="T316" s="174"/>
      <c r="U316" s="174"/>
      <c r="V316" s="174"/>
      <c r="W316" s="174"/>
      <c r="X316" s="174"/>
      <c r="Y316" s="174"/>
    </row>
    <row r="317" spans="1:25" x14ac:dyDescent="0.25">
      <c r="A317" s="175" t="str">
        <f>wp_target&amp;" "&amp;10</f>
        <v>Targeting/Missile Weapons 10</v>
      </c>
      <c r="B317" s="175">
        <v>5</v>
      </c>
      <c r="C317" s="175"/>
      <c r="D317" s="175"/>
      <c r="E317" s="175"/>
      <c r="F317" s="175"/>
      <c r="G317" s="175"/>
      <c r="H317" s="175"/>
      <c r="I317" s="174"/>
      <c r="J317" s="174"/>
      <c r="K317" s="174"/>
      <c r="L317" s="174"/>
      <c r="M317" s="174"/>
      <c r="N317" s="174"/>
      <c r="O317" s="174"/>
      <c r="P317" s="174"/>
      <c r="Q317" s="174"/>
      <c r="R317" s="174"/>
      <c r="S317" s="174"/>
      <c r="T317" s="174"/>
      <c r="U317" s="174"/>
      <c r="V317" s="174"/>
      <c r="W317" s="174"/>
      <c r="X317" s="174"/>
      <c r="Y317" s="174"/>
    </row>
    <row r="318" spans="1:25" x14ac:dyDescent="0.25">
      <c r="A318" s="175" t="str">
        <f>wp_target&amp;" "&amp;11</f>
        <v>Targeting/Missile Weapons 11</v>
      </c>
      <c r="B318" s="175">
        <v>5</v>
      </c>
      <c r="C318" s="175"/>
      <c r="D318" s="175"/>
      <c r="E318" s="175"/>
      <c r="F318" s="175"/>
      <c r="G318" s="175"/>
      <c r="H318" s="175"/>
      <c r="I318" s="174"/>
      <c r="J318" s="174"/>
      <c r="K318" s="174"/>
      <c r="L318" s="174"/>
      <c r="M318" s="174"/>
      <c r="N318" s="174"/>
      <c r="O318" s="174"/>
      <c r="P318" s="174"/>
      <c r="Q318" s="174"/>
      <c r="R318" s="174"/>
      <c r="S318" s="174"/>
      <c r="T318" s="174"/>
      <c r="U318" s="174"/>
      <c r="V318" s="174"/>
      <c r="W318" s="174"/>
      <c r="X318" s="174"/>
      <c r="Y318" s="174"/>
    </row>
    <row r="319" spans="1:25" x14ac:dyDescent="0.25">
      <c r="A319" s="175" t="str">
        <f>wp_target&amp;" "&amp;12</f>
        <v>Targeting/Missile Weapons 12</v>
      </c>
      <c r="B319" s="175">
        <v>5</v>
      </c>
      <c r="C319" s="175"/>
      <c r="D319" s="175"/>
      <c r="E319" s="175"/>
      <c r="F319" s="175"/>
      <c r="G319" s="175"/>
      <c r="H319" s="175"/>
      <c r="I319" s="174"/>
      <c r="J319" s="174"/>
      <c r="K319" s="174"/>
      <c r="L319" s="174"/>
      <c r="M319" s="174"/>
      <c r="N319" s="174"/>
      <c r="O319" s="174"/>
      <c r="P319" s="174"/>
      <c r="Q319" s="174"/>
      <c r="R319" s="174"/>
      <c r="S319" s="174"/>
      <c r="T319" s="174"/>
      <c r="U319" s="174"/>
      <c r="V319" s="174"/>
      <c r="W319" s="174"/>
      <c r="X319" s="174"/>
      <c r="Y319" s="174"/>
    </row>
    <row r="320" spans="1:25" x14ac:dyDescent="0.25">
      <c r="A320" s="175" t="str">
        <f>wp_target&amp;" "&amp;13</f>
        <v>Targeting/Missile Weapons 13</v>
      </c>
      <c r="B320" s="175">
        <v>6</v>
      </c>
      <c r="C320" s="175"/>
      <c r="D320" s="175"/>
      <c r="E320" s="175"/>
      <c r="F320" s="175"/>
      <c r="G320" s="175"/>
      <c r="H320" s="175"/>
      <c r="I320" s="174"/>
      <c r="J320" s="174"/>
      <c r="K320" s="174"/>
      <c r="L320" s="174"/>
      <c r="M320" s="174"/>
      <c r="N320" s="174"/>
      <c r="O320" s="174"/>
      <c r="P320" s="174"/>
      <c r="Q320" s="174"/>
      <c r="R320" s="174"/>
      <c r="S320" s="174"/>
      <c r="T320" s="174"/>
      <c r="U320" s="174"/>
      <c r="V320" s="174"/>
      <c r="W320" s="174"/>
      <c r="X320" s="174"/>
      <c r="Y320" s="174"/>
    </row>
    <row r="321" spans="1:25" x14ac:dyDescent="0.25">
      <c r="A321" s="175" t="str">
        <f>wp_target&amp;" "&amp;14</f>
        <v>Targeting/Missile Weapons 14</v>
      </c>
      <c r="B321" s="175">
        <v>6</v>
      </c>
      <c r="C321" s="175"/>
      <c r="D321" s="175"/>
      <c r="E321" s="175"/>
      <c r="F321" s="175"/>
      <c r="G321" s="175"/>
      <c r="H321" s="175"/>
      <c r="I321" s="174"/>
      <c r="J321" s="174"/>
      <c r="K321" s="174"/>
      <c r="L321" s="174"/>
      <c r="M321" s="174"/>
      <c r="N321" s="174"/>
      <c r="O321" s="174"/>
      <c r="P321" s="174"/>
      <c r="Q321" s="174"/>
      <c r="R321" s="174"/>
      <c r="S321" s="174"/>
      <c r="T321" s="174"/>
      <c r="U321" s="174"/>
      <c r="V321" s="174"/>
      <c r="W321" s="174"/>
      <c r="X321" s="174"/>
      <c r="Y321" s="174"/>
    </row>
    <row r="322" spans="1:25" x14ac:dyDescent="0.25">
      <c r="A322" s="175" t="str">
        <f>wp_target&amp;" "&amp;15</f>
        <v>Targeting/Missile Weapons 15</v>
      </c>
      <c r="B322" s="175">
        <v>6</v>
      </c>
      <c r="C322" s="175"/>
      <c r="D322" s="175"/>
      <c r="E322" s="175"/>
      <c r="F322" s="175"/>
      <c r="G322" s="175"/>
      <c r="H322" s="175"/>
      <c r="I322" s="174"/>
      <c r="J322" s="174"/>
      <c r="K322" s="174"/>
      <c r="L322" s="174"/>
      <c r="M322" s="174"/>
      <c r="N322" s="174"/>
      <c r="O322" s="174"/>
      <c r="P322" s="174"/>
      <c r="Q322" s="174"/>
      <c r="R322" s="174"/>
      <c r="S322" s="174"/>
      <c r="T322" s="174"/>
      <c r="U322" s="174"/>
      <c r="V322" s="174"/>
      <c r="W322" s="174"/>
      <c r="X322" s="174"/>
      <c r="Y322" s="174"/>
    </row>
    <row r="323" spans="1:25" x14ac:dyDescent="0.25">
      <c r="A323" s="175" t="str">
        <f>wp_whip&amp;" "&amp;1</f>
        <v>Whip 1</v>
      </c>
      <c r="B323" s="175"/>
      <c r="C323" s="175" t="e">
        <v>#N/A</v>
      </c>
      <c r="D323" s="175"/>
      <c r="E323" s="175"/>
      <c r="F323" s="175"/>
      <c r="G323" s="175"/>
      <c r="H323" s="175"/>
      <c r="I323" s="174"/>
      <c r="J323" s="174"/>
      <c r="K323" s="174"/>
      <c r="L323" s="174"/>
      <c r="M323" s="174"/>
      <c r="N323" s="174"/>
      <c r="O323" s="174"/>
      <c r="P323" s="174"/>
      <c r="Q323" s="174"/>
      <c r="R323" s="174"/>
      <c r="S323" s="174"/>
      <c r="T323" s="174"/>
      <c r="U323" s="174"/>
      <c r="V323" s="174"/>
      <c r="W323" s="174"/>
      <c r="X323" s="174"/>
      <c r="Y323" s="174"/>
    </row>
    <row r="324" spans="1:25" x14ac:dyDescent="0.25">
      <c r="A324" s="175" t="str">
        <f>wp_whip&amp;" "&amp;2</f>
        <v>Whip 2</v>
      </c>
      <c r="B324" s="175">
        <v>1</v>
      </c>
      <c r="C324" s="175" t="e">
        <v>#N/A</v>
      </c>
      <c r="D324" s="175"/>
      <c r="E324" s="175">
        <v>1</v>
      </c>
      <c r="F324" s="175">
        <v>1</v>
      </c>
      <c r="G324" s="175"/>
      <c r="H324" s="175"/>
      <c r="I324" s="174"/>
      <c r="J324" s="174"/>
      <c r="K324" s="174"/>
      <c r="L324" s="174"/>
      <c r="M324" s="174"/>
      <c r="N324" s="174"/>
      <c r="O324" s="174"/>
      <c r="P324" s="174"/>
      <c r="Q324" s="174"/>
      <c r="R324" s="174"/>
      <c r="S324" s="174"/>
      <c r="T324" s="174"/>
      <c r="U324" s="174"/>
      <c r="V324" s="174"/>
      <c r="W324" s="174"/>
      <c r="X324" s="174"/>
      <c r="Y324" s="174"/>
    </row>
    <row r="325" spans="1:25" x14ac:dyDescent="0.25">
      <c r="A325" s="175" t="str">
        <f>wp_whip&amp;" "&amp;3</f>
        <v>Whip 3</v>
      </c>
      <c r="B325" s="175">
        <v>1</v>
      </c>
      <c r="C325" s="175" t="e">
        <v>#N/A</v>
      </c>
      <c r="D325" s="175"/>
      <c r="E325" s="175">
        <v>1</v>
      </c>
      <c r="F325" s="175">
        <v>1</v>
      </c>
      <c r="G325" s="175"/>
      <c r="H325" s="175"/>
      <c r="I325" s="174"/>
      <c r="J325" s="174"/>
      <c r="K325" s="174"/>
      <c r="L325" s="174"/>
      <c r="M325" s="174"/>
      <c r="N325" s="174"/>
      <c r="O325" s="174"/>
      <c r="P325" s="174"/>
      <c r="Q325" s="174"/>
      <c r="R325" s="174"/>
      <c r="S325" s="174"/>
      <c r="T325" s="174"/>
      <c r="U325" s="174"/>
      <c r="V325" s="174"/>
      <c r="W325" s="174"/>
      <c r="X325" s="174"/>
      <c r="Y325" s="174"/>
    </row>
    <row r="326" spans="1:25" x14ac:dyDescent="0.25">
      <c r="A326" s="175" t="str">
        <f>wp_whip&amp;" "&amp;4</f>
        <v>Whip 4</v>
      </c>
      <c r="B326" s="175">
        <v>2</v>
      </c>
      <c r="C326" s="175" t="e">
        <v>#N/A</v>
      </c>
      <c r="D326" s="175"/>
      <c r="E326" s="175">
        <v>2</v>
      </c>
      <c r="F326" s="175">
        <v>2</v>
      </c>
      <c r="G326" s="175"/>
      <c r="H326" s="175"/>
      <c r="I326" s="174"/>
      <c r="J326" s="174"/>
      <c r="K326" s="174"/>
      <c r="L326" s="174"/>
      <c r="M326" s="174"/>
      <c r="N326" s="174"/>
      <c r="O326" s="174"/>
      <c r="P326" s="174"/>
      <c r="Q326" s="174"/>
      <c r="R326" s="174"/>
      <c r="S326" s="174"/>
      <c r="T326" s="174"/>
      <c r="U326" s="174"/>
      <c r="V326" s="174"/>
      <c r="W326" s="174"/>
      <c r="X326" s="174"/>
      <c r="Y326" s="174"/>
    </row>
    <row r="327" spans="1:25" x14ac:dyDescent="0.25">
      <c r="A327" s="175" t="str">
        <f>wp_whip&amp;" "&amp;5</f>
        <v>Whip 5</v>
      </c>
      <c r="B327" s="175">
        <v>2</v>
      </c>
      <c r="C327" s="175" t="e">
        <v>#N/A</v>
      </c>
      <c r="D327" s="175"/>
      <c r="E327" s="175">
        <v>2</v>
      </c>
      <c r="F327" s="175">
        <v>2</v>
      </c>
      <c r="G327" s="175"/>
      <c r="H327" s="175"/>
      <c r="I327" s="174"/>
      <c r="J327" s="174"/>
      <c r="K327" s="174"/>
      <c r="L327" s="174"/>
      <c r="M327" s="174"/>
      <c r="N327" s="174"/>
      <c r="O327" s="174"/>
      <c r="P327" s="174"/>
      <c r="Q327" s="174"/>
      <c r="R327" s="174"/>
      <c r="S327" s="174"/>
      <c r="T327" s="174"/>
      <c r="U327" s="174"/>
      <c r="V327" s="174"/>
      <c r="W327" s="174"/>
      <c r="X327" s="174"/>
      <c r="Y327" s="174"/>
    </row>
    <row r="328" spans="1:25" x14ac:dyDescent="0.25">
      <c r="A328" s="175" t="str">
        <f>wp_whip&amp;" "&amp;6</f>
        <v>Whip 6</v>
      </c>
      <c r="B328" s="175">
        <v>2</v>
      </c>
      <c r="C328" s="175" t="e">
        <v>#N/A</v>
      </c>
      <c r="D328" s="175"/>
      <c r="E328" s="175">
        <v>2</v>
      </c>
      <c r="F328" s="175">
        <v>2</v>
      </c>
      <c r="G328" s="175"/>
      <c r="H328" s="175"/>
      <c r="I328" s="174"/>
      <c r="J328" s="174"/>
      <c r="K328" s="174"/>
      <c r="L328" s="174"/>
      <c r="M328" s="174"/>
      <c r="N328" s="174"/>
      <c r="O328" s="174"/>
      <c r="P328" s="174"/>
      <c r="Q328" s="174"/>
      <c r="R328" s="174"/>
      <c r="S328" s="174"/>
      <c r="T328" s="174"/>
      <c r="U328" s="174"/>
      <c r="V328" s="174"/>
      <c r="W328" s="174"/>
      <c r="X328" s="174"/>
      <c r="Y328" s="174"/>
    </row>
    <row r="329" spans="1:25" x14ac:dyDescent="0.25">
      <c r="A329" s="175" t="str">
        <f>wp_whip&amp;" "&amp;7</f>
        <v>Whip 7</v>
      </c>
      <c r="B329" s="175">
        <v>3</v>
      </c>
      <c r="C329" s="175" t="e">
        <v>#N/A</v>
      </c>
      <c r="D329" s="175"/>
      <c r="E329" s="175">
        <v>3</v>
      </c>
      <c r="F329" s="175">
        <v>2</v>
      </c>
      <c r="G329" s="175"/>
      <c r="H329" s="175"/>
      <c r="I329" s="174"/>
      <c r="J329" s="174"/>
      <c r="K329" s="174"/>
      <c r="L329" s="174"/>
      <c r="M329" s="174"/>
      <c r="N329" s="174"/>
      <c r="O329" s="174"/>
      <c r="P329" s="174"/>
      <c r="Q329" s="174"/>
      <c r="R329" s="174"/>
      <c r="S329" s="174"/>
      <c r="T329" s="174"/>
      <c r="U329" s="174"/>
      <c r="V329" s="174"/>
      <c r="W329" s="174"/>
      <c r="X329" s="174"/>
      <c r="Y329" s="174"/>
    </row>
    <row r="330" spans="1:25" x14ac:dyDescent="0.25">
      <c r="A330" s="175" t="str">
        <f>wp_whip&amp;" "&amp;8</f>
        <v>Whip 8</v>
      </c>
      <c r="B330" s="175">
        <v>3</v>
      </c>
      <c r="C330" s="175" t="e">
        <v>#N/A</v>
      </c>
      <c r="D330" s="175"/>
      <c r="E330" s="175">
        <v>3</v>
      </c>
      <c r="F330" s="175">
        <v>3</v>
      </c>
      <c r="G330" s="175"/>
      <c r="H330" s="175"/>
      <c r="I330" s="174"/>
      <c r="J330" s="174"/>
      <c r="K330" s="174"/>
      <c r="L330" s="174"/>
      <c r="M330" s="174"/>
      <c r="N330" s="174"/>
      <c r="O330" s="174"/>
      <c r="P330" s="174"/>
      <c r="Q330" s="174"/>
      <c r="R330" s="174"/>
      <c r="S330" s="174"/>
      <c r="T330" s="174"/>
      <c r="U330" s="174"/>
      <c r="V330" s="174"/>
      <c r="W330" s="174"/>
      <c r="X330" s="174"/>
      <c r="Y330" s="174"/>
    </row>
    <row r="331" spans="1:25" x14ac:dyDescent="0.25">
      <c r="A331" s="175" t="str">
        <f>wp_whip&amp;" "&amp;9</f>
        <v>Whip 9</v>
      </c>
      <c r="B331" s="175">
        <v>3</v>
      </c>
      <c r="C331" s="175" t="e">
        <v>#N/A</v>
      </c>
      <c r="D331" s="175"/>
      <c r="E331" s="175">
        <v>3</v>
      </c>
      <c r="F331" s="175">
        <v>3</v>
      </c>
      <c r="G331" s="175"/>
      <c r="H331" s="175"/>
      <c r="I331" s="174"/>
      <c r="J331" s="174"/>
      <c r="K331" s="174"/>
      <c r="L331" s="174"/>
      <c r="M331" s="174"/>
      <c r="N331" s="174"/>
      <c r="O331" s="174"/>
      <c r="P331" s="174"/>
      <c r="Q331" s="174"/>
      <c r="R331" s="174"/>
      <c r="S331" s="174"/>
      <c r="T331" s="174"/>
      <c r="U331" s="174"/>
      <c r="V331" s="174"/>
      <c r="W331" s="174"/>
      <c r="X331" s="174"/>
      <c r="Y331" s="174"/>
    </row>
    <row r="332" spans="1:25" x14ac:dyDescent="0.25">
      <c r="A332" s="175" t="str">
        <f>wp_whip&amp;" "&amp;10</f>
        <v>Whip 10</v>
      </c>
      <c r="B332" s="175">
        <v>4</v>
      </c>
      <c r="C332" s="175" t="e">
        <v>#N/A</v>
      </c>
      <c r="D332" s="175"/>
      <c r="E332" s="175">
        <v>4</v>
      </c>
      <c r="F332" s="175">
        <v>3</v>
      </c>
      <c r="G332" s="175"/>
      <c r="H332" s="175"/>
      <c r="I332" s="174"/>
      <c r="J332" s="174"/>
      <c r="K332" s="174"/>
      <c r="L332" s="174"/>
      <c r="M332" s="174"/>
      <c r="N332" s="174"/>
      <c r="O332" s="174"/>
      <c r="P332" s="174"/>
      <c r="Q332" s="174"/>
      <c r="R332" s="174"/>
      <c r="S332" s="174"/>
      <c r="T332" s="174"/>
      <c r="U332" s="174"/>
      <c r="V332" s="174"/>
      <c r="W332" s="174"/>
      <c r="X332" s="174"/>
      <c r="Y332" s="174"/>
    </row>
    <row r="333" spans="1:25" x14ac:dyDescent="0.25">
      <c r="A333" s="175" t="str">
        <f>wp_whip&amp;" "&amp;11</f>
        <v>Whip 11</v>
      </c>
      <c r="B333" s="175">
        <v>4</v>
      </c>
      <c r="C333" s="175" t="e">
        <v>#N/A</v>
      </c>
      <c r="D333" s="175"/>
      <c r="E333" s="175">
        <v>4</v>
      </c>
      <c r="F333" s="175">
        <v>3</v>
      </c>
      <c r="G333" s="175"/>
      <c r="H333" s="175"/>
      <c r="I333" s="174"/>
      <c r="J333" s="174"/>
      <c r="K333" s="174"/>
      <c r="L333" s="174"/>
      <c r="M333" s="174"/>
      <c r="N333" s="174"/>
      <c r="O333" s="174"/>
      <c r="P333" s="174"/>
      <c r="Q333" s="174"/>
      <c r="R333" s="174"/>
      <c r="S333" s="174"/>
      <c r="T333" s="174"/>
      <c r="U333" s="174"/>
      <c r="V333" s="174"/>
      <c r="W333" s="174"/>
      <c r="X333" s="174"/>
      <c r="Y333" s="174"/>
    </row>
    <row r="334" spans="1:25" x14ac:dyDescent="0.25">
      <c r="A334" s="175" t="str">
        <f>wp_whip&amp;" "&amp;12</f>
        <v>Whip 12</v>
      </c>
      <c r="B334" s="175">
        <v>4</v>
      </c>
      <c r="C334" s="175" t="e">
        <v>#N/A</v>
      </c>
      <c r="D334" s="175"/>
      <c r="E334" s="175">
        <v>4</v>
      </c>
      <c r="F334" s="175">
        <v>4</v>
      </c>
      <c r="G334" s="175"/>
      <c r="H334" s="175"/>
      <c r="I334" s="174"/>
      <c r="J334" s="174"/>
      <c r="K334" s="174"/>
      <c r="L334" s="174"/>
      <c r="M334" s="174"/>
      <c r="N334" s="174"/>
      <c r="O334" s="174"/>
      <c r="P334" s="174"/>
      <c r="Q334" s="174"/>
      <c r="R334" s="174"/>
      <c r="S334" s="174"/>
      <c r="T334" s="174"/>
      <c r="U334" s="174"/>
      <c r="V334" s="174"/>
      <c r="W334" s="174"/>
      <c r="X334" s="174"/>
      <c r="Y334" s="174"/>
    </row>
    <row r="335" spans="1:25" x14ac:dyDescent="0.25">
      <c r="A335" s="175" t="str">
        <f>wp_whip&amp;" "&amp;13</f>
        <v>Whip 13</v>
      </c>
      <c r="B335" s="175">
        <v>5</v>
      </c>
      <c r="C335" s="175" t="e">
        <v>#N/A</v>
      </c>
      <c r="D335" s="175"/>
      <c r="E335" s="175">
        <v>5</v>
      </c>
      <c r="F335" s="175">
        <v>4</v>
      </c>
      <c r="G335" s="175"/>
      <c r="H335" s="175"/>
      <c r="I335" s="174"/>
      <c r="J335" s="174"/>
      <c r="K335" s="174"/>
      <c r="L335" s="174"/>
      <c r="M335" s="174"/>
      <c r="N335" s="174"/>
      <c r="O335" s="174"/>
      <c r="P335" s="174"/>
      <c r="Q335" s="174"/>
      <c r="R335" s="174"/>
      <c r="S335" s="174"/>
      <c r="T335" s="174"/>
      <c r="U335" s="174"/>
      <c r="V335" s="174"/>
      <c r="W335" s="174"/>
      <c r="X335" s="174"/>
      <c r="Y335" s="174"/>
    </row>
    <row r="336" spans="1:25" x14ac:dyDescent="0.25">
      <c r="A336" s="175" t="str">
        <f>wp_whip&amp;" "&amp;14</f>
        <v>Whip 14</v>
      </c>
      <c r="B336" s="175">
        <v>5</v>
      </c>
      <c r="C336" s="175" t="e">
        <v>#N/A</v>
      </c>
      <c r="D336" s="175"/>
      <c r="E336" s="175">
        <v>5</v>
      </c>
      <c r="F336" s="175">
        <v>4</v>
      </c>
      <c r="G336" s="175"/>
      <c r="H336" s="175"/>
      <c r="I336" s="174"/>
      <c r="J336" s="174"/>
      <c r="K336" s="174"/>
      <c r="L336" s="174"/>
      <c r="M336" s="174"/>
      <c r="N336" s="174"/>
      <c r="O336" s="174"/>
      <c r="P336" s="174"/>
      <c r="Q336" s="174"/>
      <c r="R336" s="174"/>
      <c r="S336" s="174"/>
      <c r="T336" s="174"/>
      <c r="U336" s="174"/>
      <c r="V336" s="174"/>
      <c r="W336" s="174"/>
      <c r="X336" s="174"/>
      <c r="Y336" s="174"/>
    </row>
    <row r="337" spans="1:25" x14ac:dyDescent="0.25">
      <c r="A337" s="175" t="str">
        <f>wp_whip&amp;" "&amp;15</f>
        <v>Whip 15</v>
      </c>
      <c r="B337" s="175">
        <v>5</v>
      </c>
      <c r="C337" s="175" t="e">
        <v>#N/A</v>
      </c>
      <c r="D337" s="175"/>
      <c r="E337" s="175">
        <v>5</v>
      </c>
      <c r="F337" s="175">
        <v>4</v>
      </c>
      <c r="G337" s="175"/>
      <c r="H337" s="175"/>
      <c r="I337" s="174"/>
      <c r="J337" s="174"/>
      <c r="K337" s="174"/>
      <c r="L337" s="174"/>
      <c r="M337" s="174"/>
      <c r="N337" s="174"/>
      <c r="O337" s="174"/>
      <c r="P337" s="174"/>
      <c r="Q337" s="174"/>
      <c r="R337" s="174"/>
      <c r="S337" s="174"/>
      <c r="T337" s="174"/>
      <c r="U337" s="174"/>
      <c r="V337" s="174"/>
      <c r="W337" s="174"/>
      <c r="X337" s="174"/>
      <c r="Y337" s="174"/>
    </row>
  </sheetData>
  <sheetProtection algorithmName="SHA-512" hashValue="UJ+eMn2BsOA1Ww5YNnKVmU3pkE7sc6JBi35xGKau7gNU4DxI1RiRFH2jtMmln868wNbsMCIfQ4SOPEVFRipNrw==" saltValue="Qh18euamkEcKhdh517o/1g==" spinCount="100000" sheet="1" objects="1" scenarios="1" selectLockedCells="1" selectUnlockedCells="1"/>
  <sortState ref="N3:Y24">
    <sortCondition ref="N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2708"/>
  </sheetPr>
  <dimension ref="A1:AA268"/>
  <sheetViews>
    <sheetView showZeros="0" tabSelected="1" zoomScaleNormal="100" workbookViewId="0">
      <selection activeCell="F4" sqref="F4:J4"/>
    </sheetView>
  </sheetViews>
  <sheetFormatPr defaultRowHeight="15" x14ac:dyDescent="0.25"/>
  <cols>
    <col min="1" max="1" width="6" customWidth="1"/>
    <col min="2" max="2" width="5.28515625" customWidth="1"/>
    <col min="3" max="3" width="0.7109375" style="1" customWidth="1"/>
    <col min="4" max="7" width="6" customWidth="1"/>
    <col min="8" max="8" width="0.7109375" style="1" customWidth="1"/>
    <col min="9" max="9" width="5.28515625" customWidth="1"/>
    <col min="10" max="18" width="6" customWidth="1"/>
  </cols>
  <sheetData>
    <row r="1" spans="1:17" ht="18.75" customHeight="1" thickBot="1" x14ac:dyDescent="0.35">
      <c r="A1" s="373" t="s">
        <v>152</v>
      </c>
      <c r="B1" s="374"/>
      <c r="C1" s="374"/>
      <c r="D1" s="374"/>
      <c r="E1" s="374"/>
      <c r="F1" s="374"/>
      <c r="G1" s="374"/>
      <c r="H1" s="374"/>
      <c r="I1" s="374"/>
      <c r="J1" s="374"/>
      <c r="K1" s="374"/>
      <c r="L1" s="374"/>
      <c r="M1" s="374"/>
      <c r="N1" s="374"/>
      <c r="O1" s="374"/>
      <c r="P1" s="374"/>
      <c r="Q1" s="375"/>
    </row>
    <row r="2" spans="1:17" s="4" customFormat="1" ht="3.75" customHeight="1" thickBot="1" x14ac:dyDescent="0.4">
      <c r="A2" s="390"/>
      <c r="B2" s="390"/>
      <c r="C2" s="390"/>
      <c r="D2" s="390"/>
      <c r="E2" s="390"/>
      <c r="F2" s="390"/>
      <c r="G2" s="390"/>
      <c r="H2" s="390"/>
      <c r="I2" s="390"/>
      <c r="J2" s="390"/>
      <c r="K2" s="390"/>
      <c r="L2" s="390"/>
      <c r="M2" s="390"/>
      <c r="N2" s="390"/>
      <c r="O2" s="390"/>
      <c r="P2" s="390"/>
      <c r="Q2" s="390"/>
    </row>
    <row r="3" spans="1:17" ht="14.25" customHeight="1" thickBot="1" x14ac:dyDescent="0.3">
      <c r="A3" s="376" t="s">
        <v>0</v>
      </c>
      <c r="B3" s="377"/>
      <c r="C3" s="406"/>
      <c r="D3" s="261" t="s">
        <v>44</v>
      </c>
      <c r="E3" s="262"/>
      <c r="F3" s="262"/>
      <c r="G3" s="262"/>
      <c r="H3" s="262"/>
      <c r="I3" s="262"/>
      <c r="J3" s="262"/>
      <c r="K3" s="262"/>
      <c r="L3" s="262"/>
      <c r="M3" s="262"/>
      <c r="N3" s="262"/>
      <c r="O3" s="262"/>
      <c r="P3" s="262"/>
      <c r="Q3" s="263"/>
    </row>
    <row r="4" spans="1:17" ht="12.75" customHeight="1" x14ac:dyDescent="0.25">
      <c r="A4" s="73" t="s">
        <v>1</v>
      </c>
      <c r="B4" s="72">
        <f>_xlfn.IFNA(HLOOKUP(occ_select, 'Primary Worksheet'!D30:F38, 2, FALSE), "")</f>
        <v>10</v>
      </c>
      <c r="C4" s="406"/>
      <c r="D4" s="378" t="s">
        <v>13</v>
      </c>
      <c r="E4" s="315"/>
      <c r="F4" s="381"/>
      <c r="G4" s="381"/>
      <c r="H4" s="381"/>
      <c r="I4" s="381"/>
      <c r="J4" s="381"/>
      <c r="K4" s="315" t="s">
        <v>118</v>
      </c>
      <c r="L4" s="315"/>
      <c r="M4" s="315"/>
      <c r="N4" s="387"/>
      <c r="O4" s="387"/>
      <c r="P4" s="387"/>
      <c r="Q4" s="388"/>
    </row>
    <row r="5" spans="1:17" ht="12.75" customHeight="1" x14ac:dyDescent="0.25">
      <c r="A5" s="74" t="s">
        <v>2</v>
      </c>
      <c r="B5" s="71">
        <f>_xlfn.IFNA(HLOOKUP(occ_select, 'Primary Worksheet'!D30:F38, 3, FALSE), "")</f>
        <v>10</v>
      </c>
      <c r="C5" s="406"/>
      <c r="D5" s="389" t="s">
        <v>14</v>
      </c>
      <c r="E5" s="341"/>
      <c r="F5" s="391" t="s">
        <v>339</v>
      </c>
      <c r="G5" s="392"/>
      <c r="H5" s="345" t="s">
        <v>117</v>
      </c>
      <c r="I5" s="314"/>
      <c r="J5" s="79" t="s">
        <v>289</v>
      </c>
      <c r="K5" s="341" t="s">
        <v>42</v>
      </c>
      <c r="L5" s="341"/>
      <c r="M5" s="341"/>
      <c r="N5" s="383"/>
      <c r="O5" s="383"/>
      <c r="P5" s="383"/>
      <c r="Q5" s="384"/>
    </row>
    <row r="6" spans="1:17" ht="12.75" customHeight="1" x14ac:dyDescent="0.25">
      <c r="A6" s="74" t="s">
        <v>3</v>
      </c>
      <c r="B6" s="72">
        <f>_xlfn.IFNA(HLOOKUP(occ_select, 'Primary Worksheet'!D30:F38, 4, FALSE), "")</f>
        <v>7</v>
      </c>
      <c r="C6" s="406"/>
      <c r="D6" s="389" t="s">
        <v>161</v>
      </c>
      <c r="E6" s="341"/>
      <c r="F6" s="393" t="s">
        <v>173</v>
      </c>
      <c r="G6" s="394"/>
      <c r="H6" s="394"/>
      <c r="I6" s="394"/>
      <c r="J6" s="395"/>
      <c r="K6" s="341" t="s">
        <v>20</v>
      </c>
      <c r="L6" s="341"/>
      <c r="M6" s="341"/>
      <c r="N6" s="383"/>
      <c r="O6" s="383"/>
      <c r="P6" s="383"/>
      <c r="Q6" s="384"/>
    </row>
    <row r="7" spans="1:17" ht="12.75" customHeight="1" x14ac:dyDescent="0.25">
      <c r="A7" s="74" t="s">
        <v>4</v>
      </c>
      <c r="B7" s="71">
        <f>_xlfn.IFNA(HLOOKUP(occ_select, 'Primary Worksheet'!D30:F38, 5, FALSE), "")</f>
        <v>25</v>
      </c>
      <c r="C7" s="406"/>
      <c r="D7" s="389" t="s">
        <v>15</v>
      </c>
      <c r="E7" s="341"/>
      <c r="F7" s="382" t="s">
        <v>285</v>
      </c>
      <c r="G7" s="382"/>
      <c r="H7" s="382"/>
      <c r="I7" s="382"/>
      <c r="J7" s="382"/>
      <c r="K7" s="345" t="s">
        <v>43</v>
      </c>
      <c r="L7" s="313"/>
      <c r="M7" s="314"/>
      <c r="N7" s="383" t="s">
        <v>355</v>
      </c>
      <c r="O7" s="383"/>
      <c r="P7" s="383"/>
      <c r="Q7" s="384"/>
    </row>
    <row r="8" spans="1:17" ht="12.75" customHeight="1" x14ac:dyDescent="0.25">
      <c r="A8" s="74" t="s">
        <v>5</v>
      </c>
      <c r="B8" s="72">
        <f>_xlfn.IFNA(HLOOKUP(occ_select, 'Primary Worksheet'!D30:F38, 6, FALSE), "")</f>
        <v>10</v>
      </c>
      <c r="C8" s="406"/>
      <c r="D8" s="389" t="s">
        <v>16</v>
      </c>
      <c r="E8" s="341"/>
      <c r="F8" s="379" t="s">
        <v>357</v>
      </c>
      <c r="G8" s="380"/>
      <c r="H8" s="345" t="s">
        <v>12</v>
      </c>
      <c r="I8" s="314"/>
      <c r="J8" s="226">
        <v>1</v>
      </c>
      <c r="K8" s="345" t="s">
        <v>19</v>
      </c>
      <c r="L8" s="313"/>
      <c r="M8" s="314"/>
      <c r="N8" s="385"/>
      <c r="O8" s="385"/>
      <c r="P8" s="385"/>
      <c r="Q8" s="386"/>
    </row>
    <row r="9" spans="1:17" ht="12.75" customHeight="1" x14ac:dyDescent="0.25">
      <c r="A9" s="74" t="s">
        <v>6</v>
      </c>
      <c r="B9" s="71">
        <f>_xlfn.IFNA(HLOOKUP(occ_select, 'Primary Worksheet'!D30:F38, 7, FALSE), "")</f>
        <v>14</v>
      </c>
      <c r="C9" s="406"/>
      <c r="D9" s="409" t="s">
        <v>17</v>
      </c>
      <c r="E9" s="410"/>
      <c r="F9" s="398">
        <f>20+(calc_lev*15)</f>
        <v>35</v>
      </c>
      <c r="G9" s="398"/>
      <c r="H9" s="396" t="s">
        <v>18</v>
      </c>
      <c r="I9" s="310"/>
      <c r="J9" s="311"/>
      <c r="K9" s="398"/>
      <c r="L9" s="398"/>
      <c r="M9" s="410" t="s">
        <v>151</v>
      </c>
      <c r="N9" s="410"/>
      <c r="O9" s="410"/>
      <c r="P9" s="383" t="s">
        <v>356</v>
      </c>
      <c r="Q9" s="384"/>
    </row>
    <row r="10" spans="1:17" ht="12.75" customHeight="1" x14ac:dyDescent="0.25">
      <c r="A10" s="74" t="s">
        <v>7</v>
      </c>
      <c r="B10" s="72">
        <f>_xlfn.IFNA(HLOOKUP(occ_select, 'Primary Worksheet'!D30:F38, 8, FALSE), "")</f>
        <v>9</v>
      </c>
      <c r="C10" s="406"/>
      <c r="D10" s="389" t="s">
        <v>21</v>
      </c>
      <c r="E10" s="341"/>
      <c r="F10" s="385" t="s">
        <v>288</v>
      </c>
      <c r="G10" s="385"/>
      <c r="H10" s="345" t="s">
        <v>22</v>
      </c>
      <c r="I10" s="313"/>
      <c r="J10" s="314"/>
      <c r="K10" s="385" t="s">
        <v>352</v>
      </c>
      <c r="L10" s="385"/>
      <c r="M10" s="315" t="s">
        <v>40</v>
      </c>
      <c r="N10" s="315"/>
      <c r="O10" s="315"/>
      <c r="P10" s="383"/>
      <c r="Q10" s="384"/>
    </row>
    <row r="11" spans="1:17" ht="12.75" customHeight="1" thickBot="1" x14ac:dyDescent="0.3">
      <c r="A11" s="75" t="s">
        <v>8</v>
      </c>
      <c r="B11" s="71">
        <f>_xlfn.IFNA(HLOOKUP(occ_select, 'Primary Worksheet'!D30:F38, 9, FALSE), "")</f>
        <v>7</v>
      </c>
      <c r="C11" s="406"/>
      <c r="D11" s="411" t="s">
        <v>77</v>
      </c>
      <c r="E11" s="329"/>
      <c r="F11" s="402" t="s">
        <v>353</v>
      </c>
      <c r="G11" s="402"/>
      <c r="H11" s="397" t="s">
        <v>78</v>
      </c>
      <c r="I11" s="352"/>
      <c r="J11" s="353"/>
      <c r="K11" s="402" t="s">
        <v>354</v>
      </c>
      <c r="L11" s="402"/>
      <c r="M11" s="329" t="s">
        <v>38</v>
      </c>
      <c r="N11" s="329"/>
      <c r="O11" s="329"/>
      <c r="P11" s="413"/>
      <c r="Q11" s="414"/>
    </row>
    <row r="12" spans="1:17" s="20" customFormat="1" ht="3.75" customHeight="1" thickBot="1" x14ac:dyDescent="0.3">
      <c r="A12" s="405"/>
      <c r="B12" s="405"/>
      <c r="C12" s="405"/>
      <c r="D12" s="405"/>
      <c r="E12" s="405"/>
      <c r="F12" s="405"/>
      <c r="G12" s="405"/>
      <c r="H12" s="405"/>
      <c r="I12" s="405"/>
      <c r="J12" s="405"/>
      <c r="K12" s="405"/>
      <c r="L12" s="405"/>
      <c r="M12" s="405"/>
      <c r="N12" s="405"/>
      <c r="O12" s="405"/>
      <c r="P12" s="405"/>
      <c r="Q12" s="405"/>
    </row>
    <row r="13" spans="1:17" s="4" customFormat="1" ht="14.25" customHeight="1" thickBot="1" x14ac:dyDescent="0.3">
      <c r="A13" s="261" t="s">
        <v>11</v>
      </c>
      <c r="B13" s="262"/>
      <c r="C13" s="262"/>
      <c r="D13" s="262"/>
      <c r="E13" s="262"/>
      <c r="F13" s="262"/>
      <c r="G13" s="262"/>
      <c r="H13" s="262"/>
      <c r="I13" s="262"/>
      <c r="J13" s="262"/>
      <c r="K13" s="262"/>
      <c r="L13" s="262"/>
      <c r="M13" s="262"/>
      <c r="N13" s="262"/>
      <c r="O13" s="262"/>
      <c r="P13" s="262"/>
      <c r="Q13" s="263"/>
    </row>
    <row r="14" spans="1:17" s="4" customFormat="1" ht="12.75" customHeight="1" x14ac:dyDescent="0.25">
      <c r="A14" s="99" t="s">
        <v>10</v>
      </c>
      <c r="B14" s="407">
        <f>_xlfn.IFNA(VLOOKUP(ps_type, ps_list, 2, FALSE), "")</f>
        <v>500</v>
      </c>
      <c r="C14" s="408"/>
      <c r="D14" s="100" t="s">
        <v>9</v>
      </c>
      <c r="E14" s="18">
        <f>B14*2</f>
        <v>1000</v>
      </c>
      <c r="F14" s="24" t="s">
        <v>37</v>
      </c>
      <c r="G14" s="346" t="s">
        <v>28</v>
      </c>
      <c r="H14" s="347"/>
      <c r="I14" s="347"/>
      <c r="J14" s="347"/>
      <c r="K14" s="348"/>
      <c r="L14" s="27">
        <f>B11</f>
        <v>7</v>
      </c>
      <c r="M14" s="330" t="s">
        <v>31</v>
      </c>
      <c r="N14" s="331"/>
      <c r="O14" s="331"/>
      <c r="P14" s="331"/>
      <c r="Q14" s="7">
        <f>Q15*40%</f>
        <v>5</v>
      </c>
    </row>
    <row r="15" spans="1:17" s="4" customFormat="1" ht="12.75" customHeight="1" x14ac:dyDescent="0.25">
      <c r="A15" s="312" t="s">
        <v>81</v>
      </c>
      <c r="B15" s="313"/>
      <c r="C15" s="313"/>
      <c r="D15" s="313"/>
      <c r="E15" s="314"/>
      <c r="F15" s="101">
        <f>F16*2</f>
        <v>28</v>
      </c>
      <c r="G15" s="360" t="s">
        <v>27</v>
      </c>
      <c r="H15" s="320"/>
      <c r="I15" s="320"/>
      <c r="J15" s="320"/>
      <c r="K15" s="321"/>
      <c r="L15" s="25">
        <f>B11*5</f>
        <v>35</v>
      </c>
      <c r="M15" s="332" t="s">
        <v>33</v>
      </c>
      <c r="N15" s="333"/>
      <c r="O15" s="333"/>
      <c r="P15" s="333"/>
      <c r="Q15" s="6">
        <f>B7/2</f>
        <v>12.5</v>
      </c>
    </row>
    <row r="16" spans="1:17" s="4" customFormat="1" ht="12.75" customHeight="1" x14ac:dyDescent="0.25">
      <c r="A16" s="309" t="s">
        <v>82</v>
      </c>
      <c r="B16" s="310"/>
      <c r="C16" s="310"/>
      <c r="D16" s="310"/>
      <c r="E16" s="311"/>
      <c r="F16" s="101">
        <f>IF(total_pe&gt;29, total_pe*2, total_pe)</f>
        <v>14</v>
      </c>
      <c r="G16" s="360" t="s">
        <v>26</v>
      </c>
      <c r="H16" s="320"/>
      <c r="I16" s="320"/>
      <c r="J16" s="320"/>
      <c r="K16" s="321"/>
      <c r="L16" s="25">
        <f>B11*20</f>
        <v>140</v>
      </c>
      <c r="M16" s="412" t="s">
        <v>32</v>
      </c>
      <c r="N16" s="333"/>
      <c r="O16" s="333"/>
      <c r="P16" s="333"/>
      <c r="Q16" s="6">
        <f>Q17*40%</f>
        <v>2.5</v>
      </c>
    </row>
    <row r="17" spans="1:27" s="4" customFormat="1" ht="12.75" customHeight="1" thickBot="1" x14ac:dyDescent="0.3">
      <c r="A17" s="360" t="s">
        <v>34</v>
      </c>
      <c r="B17" s="320"/>
      <c r="C17" s="320"/>
      <c r="D17" s="320"/>
      <c r="E17" s="321"/>
      <c r="F17" s="25">
        <f>_xlfn.IFNA(VLOOKUP(ps_type, ps_throw1, 2, FALSE), "")</f>
        <v>225</v>
      </c>
      <c r="G17" s="360" t="s">
        <v>29</v>
      </c>
      <c r="H17" s="320"/>
      <c r="I17" s="320"/>
      <c r="J17" s="320"/>
      <c r="K17" s="321"/>
      <c r="L17" s="25">
        <f>B11/1.46666666666667</f>
        <v>4.7727272727272618</v>
      </c>
      <c r="M17" s="327" t="s">
        <v>30</v>
      </c>
      <c r="N17" s="328"/>
      <c r="O17" s="328"/>
      <c r="P17" s="328"/>
      <c r="Q17" s="42">
        <f>Q15/2</f>
        <v>6.25</v>
      </c>
    </row>
    <row r="18" spans="1:27" s="4" customFormat="1" ht="12.75" customHeight="1" x14ac:dyDescent="0.25">
      <c r="A18" s="360" t="s">
        <v>35</v>
      </c>
      <c r="B18" s="320"/>
      <c r="C18" s="320"/>
      <c r="D18" s="320"/>
      <c r="E18" s="321"/>
      <c r="F18" s="25">
        <f>_xlfn.IFNA(VLOOKUP(ps_type, ps_throw10, 2, FALSE), "")</f>
        <v>112.5</v>
      </c>
      <c r="G18" s="399" t="s">
        <v>83</v>
      </c>
      <c r="H18" s="400"/>
      <c r="I18" s="400"/>
      <c r="J18" s="400"/>
      <c r="K18" s="401"/>
      <c r="L18" s="25">
        <f>L19/3</f>
        <v>2.3333333333333335</v>
      </c>
      <c r="M18" s="349" t="s">
        <v>41</v>
      </c>
      <c r="N18" s="350"/>
      <c r="O18" s="350"/>
      <c r="P18" s="344"/>
      <c r="Q18" s="56" t="str">
        <f>ma_trust&amp;" "&amp;percent</f>
        <v>0 %</v>
      </c>
      <c r="W18" s="16"/>
      <c r="X18" s="16"/>
      <c r="Y18" s="16"/>
      <c r="Z18" s="16"/>
      <c r="AA18" s="14"/>
    </row>
    <row r="19" spans="1:27" s="4" customFormat="1" ht="12.75" customHeight="1" thickBot="1" x14ac:dyDescent="0.3">
      <c r="A19" s="354" t="s">
        <v>36</v>
      </c>
      <c r="B19" s="355"/>
      <c r="C19" s="355"/>
      <c r="D19" s="355"/>
      <c r="E19" s="356"/>
      <c r="F19" s="26">
        <f>_xlfn.IFNA(VLOOKUP(ps_type, ps_throw_max, 2, FALSE), "")</f>
        <v>8.3333333333333339</v>
      </c>
      <c r="G19" s="338" t="s">
        <v>84</v>
      </c>
      <c r="H19" s="339"/>
      <c r="I19" s="339"/>
      <c r="J19" s="339"/>
      <c r="K19" s="340"/>
      <c r="L19" s="28">
        <f>IF(total_pe&gt;29, total_pe, total_pe/2)</f>
        <v>7</v>
      </c>
      <c r="M19" s="351" t="s">
        <v>39</v>
      </c>
      <c r="N19" s="352"/>
      <c r="O19" s="352"/>
      <c r="P19" s="353"/>
      <c r="Q19" s="10" t="str">
        <f>pb_charm&amp;" "&amp;percent</f>
        <v>0 %</v>
      </c>
    </row>
    <row r="20" spans="1:27" s="20" customFormat="1" ht="3.75" customHeight="1" thickBot="1" x14ac:dyDescent="0.3">
      <c r="A20" s="334"/>
      <c r="B20" s="334"/>
      <c r="C20" s="334"/>
      <c r="D20" s="334"/>
      <c r="E20" s="334"/>
      <c r="F20" s="334"/>
      <c r="G20" s="334"/>
      <c r="H20" s="334"/>
      <c r="I20" s="334"/>
      <c r="J20" s="334"/>
      <c r="K20" s="334"/>
      <c r="L20" s="334"/>
      <c r="M20" s="334"/>
      <c r="N20" s="334"/>
      <c r="O20" s="334"/>
      <c r="P20" s="334"/>
      <c r="Q20" s="334"/>
    </row>
    <row r="21" spans="1:27" ht="14.25" customHeight="1" thickBot="1" x14ac:dyDescent="0.3">
      <c r="A21" s="261" t="s">
        <v>23</v>
      </c>
      <c r="B21" s="262"/>
      <c r="C21" s="262"/>
      <c r="D21" s="262"/>
      <c r="E21" s="262"/>
      <c r="F21" s="262"/>
      <c r="G21" s="262"/>
      <c r="H21" s="262"/>
      <c r="I21" s="262"/>
      <c r="J21" s="262"/>
      <c r="K21" s="262"/>
      <c r="L21" s="262"/>
      <c r="M21" s="262"/>
      <c r="N21" s="262"/>
      <c r="O21" s="262"/>
      <c r="P21" s="262"/>
      <c r="Q21" s="263"/>
    </row>
    <row r="22" spans="1:27" ht="12.75" customHeight="1" x14ac:dyDescent="0.25">
      <c r="A22" s="335" t="s">
        <v>24</v>
      </c>
      <c r="B22" s="336"/>
      <c r="C22" s="336"/>
      <c r="D22" s="336"/>
      <c r="E22" s="337"/>
      <c r="F22" s="60" t="s">
        <v>25</v>
      </c>
      <c r="G22" s="335" t="s">
        <v>24</v>
      </c>
      <c r="H22" s="336"/>
      <c r="I22" s="336"/>
      <c r="J22" s="336"/>
      <c r="K22" s="337"/>
      <c r="L22" s="60" t="s">
        <v>25</v>
      </c>
      <c r="M22" s="366" t="s">
        <v>24</v>
      </c>
      <c r="N22" s="367"/>
      <c r="O22" s="367"/>
      <c r="P22" s="367"/>
      <c r="Q22" s="60" t="s">
        <v>25</v>
      </c>
    </row>
    <row r="23" spans="1:27" ht="12.75" customHeight="1" x14ac:dyDescent="0.25">
      <c r="A23" s="368" t="str">
        <f>_xlfn.IFNA(HLOOKUP(occ_select, skill_table, 2, FALSE), "")</f>
        <v>Underground Tunneling</v>
      </c>
      <c r="B23" s="368"/>
      <c r="C23" s="368"/>
      <c r="D23" s="368"/>
      <c r="E23" s="369"/>
      <c r="F23" s="9" t="str">
        <f>_xlfn.IFNA(HLOOKUP(occ_select, skill_percent, 2, FALSE), "")</f>
        <v>30 %</v>
      </c>
      <c r="G23" s="322" t="str">
        <f>_xlfn.IFNA(HLOOKUP(occ_select, skill_table, 17, FALSE), "")</f>
        <v>Detect Ambush</v>
      </c>
      <c r="H23" s="323"/>
      <c r="I23" s="323"/>
      <c r="J23" s="323"/>
      <c r="K23" s="324"/>
      <c r="L23" s="9" t="str">
        <f>_xlfn.IFNA(HLOOKUP(occ_select, skill_percent, 17, FALSE), "")</f>
        <v>35 %</v>
      </c>
      <c r="M23" s="325">
        <f>_xlfn.IFNA(HLOOKUP(occ_select, skill_table, 32, FALSE), "")</f>
        <v>0</v>
      </c>
      <c r="N23" s="326"/>
      <c r="O23" s="326"/>
      <c r="P23" s="326"/>
      <c r="Q23" s="9" t="str">
        <f>_xlfn.IFNA(HLOOKUP(occ_select, skill_percent, 32, FALSE), "")</f>
        <v>0 %</v>
      </c>
    </row>
    <row r="24" spans="1:27" ht="12.75" customHeight="1" x14ac:dyDescent="0.25">
      <c r="A24" s="322" t="str">
        <f>_xlfn.IFNA(HLOOKUP(occ_select, skill_table, 3, FALSE), "")</f>
        <v>Underground Architecture</v>
      </c>
      <c r="B24" s="323"/>
      <c r="C24" s="323"/>
      <c r="D24" s="323"/>
      <c r="E24" s="324"/>
      <c r="F24" s="9" t="str">
        <f>_xlfn.IFNA(HLOOKUP(occ_select, skill_percent, 3, FALSE), "")</f>
        <v>10 %</v>
      </c>
      <c r="G24" s="322" t="str">
        <f>_xlfn.IFNA(HLOOKUP(occ_select, skill_table, 18, FALSE), "")</f>
        <v>Detect Concealment &amp; Traps</v>
      </c>
      <c r="H24" s="323"/>
      <c r="I24" s="323"/>
      <c r="J24" s="323"/>
      <c r="K24" s="324"/>
      <c r="L24" s="9" t="str">
        <f>_xlfn.IFNA(HLOOKUP(occ_select, skill_percent, 18, FALSE), "")</f>
        <v>35 %</v>
      </c>
      <c r="M24" s="325">
        <f>_xlfn.IFNA(HLOOKUP(occ_select, skill_table, 33, FALSE), "")</f>
        <v>0</v>
      </c>
      <c r="N24" s="326"/>
      <c r="O24" s="326"/>
      <c r="P24" s="326"/>
      <c r="Q24" s="9" t="str">
        <f>_xlfn.IFNA(HLOOKUP(occ_select, skill_percent, 33, FALSE), "")</f>
        <v>0 %</v>
      </c>
    </row>
    <row r="25" spans="1:27" ht="12.75" customHeight="1" x14ac:dyDescent="0.25">
      <c r="A25" s="322" t="str">
        <f>_xlfn.IFNA(HLOOKUP(occ_select, skill_table, 4, FALSE), "")</f>
        <v>Underground Sense of Direction</v>
      </c>
      <c r="B25" s="323"/>
      <c r="C25" s="323"/>
      <c r="D25" s="323"/>
      <c r="E25" s="324"/>
      <c r="F25" s="9" t="str">
        <f>_xlfn.IFNA(HLOOKUP(occ_select, skill_percent, 4, FALSE), "")</f>
        <v>20 %</v>
      </c>
      <c r="G25" s="322" t="str">
        <f>_xlfn.IFNA(HLOOKUP(occ_select, skill_table, 19, FALSE), "")</f>
        <v>Camouflage</v>
      </c>
      <c r="H25" s="323"/>
      <c r="I25" s="323"/>
      <c r="J25" s="323"/>
      <c r="K25" s="324"/>
      <c r="L25" s="9" t="str">
        <f>_xlfn.IFNA(HLOOKUP(occ_select, skill_percent, 19, FALSE), "")</f>
        <v>35 %</v>
      </c>
      <c r="M25" s="325">
        <f>_xlfn.IFNA(HLOOKUP(occ_select, skill_table, 34, FALSE), "")</f>
        <v>0</v>
      </c>
      <c r="N25" s="326"/>
      <c r="O25" s="326"/>
      <c r="P25" s="326"/>
      <c r="Q25" s="9" t="str">
        <f>_xlfn.IFNA(HLOOKUP(occ_select, skill_percent, 34, FALSE), "")</f>
        <v>0 %</v>
      </c>
    </row>
    <row r="26" spans="1:27" ht="12.75" customHeight="1" x14ac:dyDescent="0.25">
      <c r="A26" s="322" t="str">
        <f>_xlfn.IFNA(HLOOKUP(occ_select, skill_table, 5, FALSE), "")</f>
        <v>Field Armorer (Metal Work)</v>
      </c>
      <c r="B26" s="323"/>
      <c r="C26" s="323"/>
      <c r="D26" s="323"/>
      <c r="E26" s="324"/>
      <c r="F26" s="9" t="str">
        <f>_xlfn.IFNA(HLOOKUP(occ_select, skill_percent, 5, FALSE), "")</f>
        <v>40 %</v>
      </c>
      <c r="G26" s="322" t="str">
        <f>_xlfn.IFNA(HLOOKUP(occ_select, skill_table, 20, FALSE), "")</f>
        <v>Heraldry</v>
      </c>
      <c r="H26" s="323"/>
      <c r="I26" s="323"/>
      <c r="J26" s="323"/>
      <c r="K26" s="324"/>
      <c r="L26" s="9" t="str">
        <f>_xlfn.IFNA(HLOOKUP(occ_select, skill_percent, 20, FALSE), "")</f>
        <v>30 %</v>
      </c>
      <c r="M26" s="325">
        <f>_xlfn.IFNA(HLOOKUP(occ_select, skill_table, 35, FALSE), "")</f>
        <v>0</v>
      </c>
      <c r="N26" s="326"/>
      <c r="O26" s="326"/>
      <c r="P26" s="326"/>
      <c r="Q26" s="9" t="str">
        <f>_xlfn.IFNA(HLOOKUP(occ_select, skill_percent, 35, FALSE), "")</f>
        <v>0 %</v>
      </c>
    </row>
    <row r="27" spans="1:27" ht="12.75" customHeight="1" x14ac:dyDescent="0.25">
      <c r="A27" s="322" t="str">
        <f>_xlfn.IFNA(HLOOKUP(occ_select, skill_table, 6, FALSE), "")</f>
        <v>Gemology (Recog. Metal/Stone)</v>
      </c>
      <c r="B27" s="323"/>
      <c r="C27" s="323"/>
      <c r="D27" s="323"/>
      <c r="E27" s="324"/>
      <c r="F27" s="9" t="str">
        <f>_xlfn.IFNA(HLOOKUP(occ_select, skill_percent, 6, FALSE), "")</f>
        <v>35 %</v>
      </c>
      <c r="G27" s="322" t="str">
        <f>_xlfn.IFNA(HLOOKUP(occ_select, skill_table, 21, FALSE), "")</f>
        <v>Interrogation Techniques</v>
      </c>
      <c r="H27" s="323"/>
      <c r="I27" s="323"/>
      <c r="J27" s="323"/>
      <c r="K27" s="324"/>
      <c r="L27" s="9" t="str">
        <f>_xlfn.IFNA(HLOOKUP(occ_select, skill_percent, 21, FALSE), "")</f>
        <v>35 %</v>
      </c>
      <c r="M27" s="325">
        <f>_xlfn.IFNA(HLOOKUP(occ_select, skill_table, 36, FALSE), "")</f>
        <v>0</v>
      </c>
      <c r="N27" s="326"/>
      <c r="O27" s="326"/>
      <c r="P27" s="326"/>
      <c r="Q27" s="9" t="str">
        <f>_xlfn.IFNA(HLOOKUP(occ_select, skill_percent, 36, FALSE), "")</f>
        <v>0 %</v>
      </c>
    </row>
    <row r="28" spans="1:27" ht="12.75" customHeight="1" x14ac:dyDescent="0.25">
      <c r="A28" s="322" t="str">
        <f>_xlfn.IFNA(HLOOKUP(occ_select, skill_table, 7, FALSE), "")</f>
        <v>Climb/Scale Walls</v>
      </c>
      <c r="B28" s="323"/>
      <c r="C28" s="323"/>
      <c r="D28" s="323"/>
      <c r="E28" s="324"/>
      <c r="F28" s="9" t="str">
        <f>_xlfn.IFNA(HLOOKUP(occ_select, skill_percent, 7, FALSE), "")</f>
        <v>45 %</v>
      </c>
      <c r="G28" s="322" t="str">
        <f>_xlfn.IFNA(HLOOKUP(occ_select, skill_table, 22, FALSE), "")</f>
        <v>Surveillance</v>
      </c>
      <c r="H28" s="323"/>
      <c r="I28" s="323"/>
      <c r="J28" s="323"/>
      <c r="K28" s="324"/>
      <c r="L28" s="9" t="str">
        <f>_xlfn.IFNA(HLOOKUP(occ_select, skill_percent, 22, FALSE), "")</f>
        <v>40 %</v>
      </c>
      <c r="M28" s="325">
        <f>_xlfn.IFNA(HLOOKUP(occ_select, skill_table, 37, FALSE), "")</f>
        <v>0</v>
      </c>
      <c r="N28" s="326"/>
      <c r="O28" s="326"/>
      <c r="P28" s="326"/>
      <c r="Q28" s="9" t="str">
        <f>_xlfn.IFNA(HLOOKUP(occ_select, skill_percent, 37, FALSE), "")</f>
        <v>0 %</v>
      </c>
    </row>
    <row r="29" spans="1:27" ht="12.75" customHeight="1" x14ac:dyDescent="0.25">
      <c r="A29" s="322" t="str">
        <f>_xlfn.IFNA(HLOOKUP(occ_select, skill_table, 8, FALSE), "")</f>
        <v>Forced March</v>
      </c>
      <c r="B29" s="323"/>
      <c r="C29" s="323"/>
      <c r="D29" s="323"/>
      <c r="E29" s="324"/>
      <c r="F29" s="9" t="str">
        <f>_xlfn.IFNA(HLOOKUP(occ_select, skill_percent, 8, FALSE), "")</f>
        <v>0 %</v>
      </c>
      <c r="G29" s="322" t="str">
        <f>_xlfn.IFNA(HLOOKUP(occ_select, skill_table, 23, FALSE), "")</f>
        <v>Lore: Magic</v>
      </c>
      <c r="H29" s="323"/>
      <c r="I29" s="323"/>
      <c r="J29" s="323"/>
      <c r="K29" s="324"/>
      <c r="L29" s="9" t="str">
        <f>_xlfn.IFNA(HLOOKUP(occ_select, skill_percent, 23, FALSE), "")</f>
        <v>30 %</v>
      </c>
      <c r="M29" s="325">
        <f>_xlfn.IFNA(HLOOKUP(occ_select, skill_table, 38, FALSE), "")</f>
        <v>0</v>
      </c>
      <c r="N29" s="326"/>
      <c r="O29" s="326"/>
      <c r="P29" s="326"/>
      <c r="Q29" s="9" t="str">
        <f>_xlfn.IFNA(HLOOKUP(occ_select, skill_percent, 38, FALSE), "")</f>
        <v>0 %</v>
      </c>
    </row>
    <row r="30" spans="1:27" ht="12.75" customHeight="1" x14ac:dyDescent="0.25">
      <c r="A30" s="322" t="str">
        <f>_xlfn.IFNA(HLOOKUP(occ_select, skill_table, 9, FALSE), "")</f>
        <v>Body Building &amp; Weight Lifting</v>
      </c>
      <c r="B30" s="323"/>
      <c r="C30" s="323"/>
      <c r="D30" s="323"/>
      <c r="E30" s="324"/>
      <c r="F30" s="9" t="str">
        <f>_xlfn.IFNA(HLOOKUP(occ_select, skill_percent, 9, FALSE), "")</f>
        <v>0 %</v>
      </c>
      <c r="G30" s="322" t="str">
        <f>_xlfn.IFNA(HLOOKUP(occ_select, skill_table, 24, FALSE), "")</f>
        <v>Recognize Weapon Quality</v>
      </c>
      <c r="H30" s="323"/>
      <c r="I30" s="323"/>
      <c r="J30" s="323"/>
      <c r="K30" s="324"/>
      <c r="L30" s="9" t="str">
        <f>_xlfn.IFNA(HLOOKUP(occ_select, skill_percent, 24, FALSE), "")</f>
        <v>40 %</v>
      </c>
      <c r="M30" s="325">
        <f>_xlfn.IFNA(HLOOKUP(occ_select, skill_table, 39, FALSE), "")</f>
        <v>0</v>
      </c>
      <c r="N30" s="326"/>
      <c r="O30" s="326"/>
      <c r="P30" s="326"/>
      <c r="Q30" s="9" t="str">
        <f>_xlfn.IFNA(HLOOKUP(occ_select, skill_percent, 39, FALSE), "")</f>
        <v>0 %</v>
      </c>
    </row>
    <row r="31" spans="1:27" ht="12.75" customHeight="1" x14ac:dyDescent="0.25">
      <c r="A31" s="322" t="str">
        <f>_xlfn.IFNA(HLOOKUP(occ_select, skill_table, 10, FALSE), "")</f>
        <v>Language: Dwarven</v>
      </c>
      <c r="B31" s="323"/>
      <c r="C31" s="323"/>
      <c r="D31" s="323"/>
      <c r="E31" s="324"/>
      <c r="F31" s="9" t="str">
        <f>_xlfn.IFNA(HLOOKUP(occ_select, skill_percent, 10, FALSE), "")</f>
        <v>98 %</v>
      </c>
      <c r="G31" s="322" t="str">
        <f>_xlfn.IFNA(HLOOKUP(occ_select, skill_table, 25, FALSE), "")</f>
        <v>Masonry</v>
      </c>
      <c r="H31" s="323"/>
      <c r="I31" s="323"/>
      <c r="J31" s="323"/>
      <c r="K31" s="324"/>
      <c r="L31" s="9" t="str">
        <f>_xlfn.IFNA(HLOOKUP(occ_select, skill_percent, 25, FALSE), "")</f>
        <v>40 %</v>
      </c>
      <c r="M31" s="325">
        <f>_xlfn.IFNA(HLOOKUP(occ_select, skill_table, 40, FALSE), "")</f>
        <v>0</v>
      </c>
      <c r="N31" s="326"/>
      <c r="O31" s="326"/>
      <c r="P31" s="326"/>
      <c r="Q31" s="9" t="str">
        <f>_xlfn.IFNA(HLOOKUP(occ_select, skill_percent, 40, FALSE), "")</f>
        <v>0 %</v>
      </c>
    </row>
    <row r="32" spans="1:27" ht="12.75" customHeight="1" x14ac:dyDescent="0.25">
      <c r="A32" s="322" t="str">
        <f>_xlfn.IFNA(HLOOKUP(occ_select, skill_table, 11, FALSE), "")</f>
        <v>Language: Sign</v>
      </c>
      <c r="B32" s="323"/>
      <c r="C32" s="323"/>
      <c r="D32" s="323"/>
      <c r="E32" s="324"/>
      <c r="F32" s="9" t="str">
        <f>_xlfn.IFNA(HLOOKUP(occ_select, skill_percent, 11, FALSE), "")</f>
        <v>35 %</v>
      </c>
      <c r="G32" s="322" t="str">
        <f>_xlfn.IFNA(HLOOKUP(occ_select, skill_table, 26, FALSE), "")</f>
        <v>Play Instrument: Bugle</v>
      </c>
      <c r="H32" s="323"/>
      <c r="I32" s="323"/>
      <c r="J32" s="323"/>
      <c r="K32" s="324"/>
      <c r="L32" s="9" t="str">
        <f>_xlfn.IFNA(HLOOKUP(occ_select, skill_percent, 26, FALSE), "")</f>
        <v>25 %</v>
      </c>
      <c r="M32" s="325">
        <f>_xlfn.IFNA(HLOOKUP(occ_select, skill_table, 41, FALSE), "")</f>
        <v>0</v>
      </c>
      <c r="N32" s="326"/>
      <c r="O32" s="326"/>
      <c r="P32" s="326"/>
      <c r="Q32" s="9" t="str">
        <f>_xlfn.IFNA(HLOOKUP(occ_select, skill_percent, 41, FALSE), "")</f>
        <v>0 %</v>
      </c>
    </row>
    <row r="33" spans="1:17" ht="12.75" customHeight="1" x14ac:dyDescent="0.25">
      <c r="A33" s="322" t="str">
        <f>_xlfn.IFNA(HLOOKUP(occ_select, skill_table, 12, FALSE), "")</f>
        <v>Language: (one of choice)</v>
      </c>
      <c r="B33" s="323"/>
      <c r="C33" s="323"/>
      <c r="D33" s="323"/>
      <c r="E33" s="324"/>
      <c r="F33" s="9" t="str">
        <f>_xlfn.IFNA(HLOOKUP(occ_select, skill_percent, 12, FALSE), "")</f>
        <v>50 %</v>
      </c>
      <c r="G33" s="322" t="str">
        <f>_xlfn.IFNA(HLOOKUP(occ_select, skill_table, 27, FALSE), "")</f>
        <v>First Aid</v>
      </c>
      <c r="H33" s="323"/>
      <c r="I33" s="323"/>
      <c r="J33" s="323"/>
      <c r="K33" s="324"/>
      <c r="L33" s="9" t="str">
        <f>_xlfn.IFNA(HLOOKUP(occ_select, skill_percent, 27, FALSE), "")</f>
        <v>30 %</v>
      </c>
      <c r="M33" s="325">
        <f>_xlfn.IFNA(HLOOKUP(occ_select, skill_table, 42, FALSE), "")</f>
        <v>0</v>
      </c>
      <c r="N33" s="326"/>
      <c r="O33" s="326"/>
      <c r="P33" s="326"/>
      <c r="Q33" s="9" t="str">
        <f>_xlfn.IFNA(HLOOKUP(occ_select, skill_percent, 42, FALSE), "")</f>
        <v>0 %</v>
      </c>
    </row>
    <row r="34" spans="1:17" ht="12.75" customHeight="1" x14ac:dyDescent="0.25">
      <c r="A34" s="322" t="str">
        <f>_xlfn.IFNA(HLOOKUP(occ_select, skill_table, 13, FALSE), "")</f>
        <v>Military Etiquette</v>
      </c>
      <c r="B34" s="323"/>
      <c r="C34" s="323"/>
      <c r="D34" s="323"/>
      <c r="E34" s="324"/>
      <c r="F34" s="9" t="str">
        <f>_xlfn.IFNA(HLOOKUP(occ_select, skill_percent, 13, FALSE), "")</f>
        <v>60 %</v>
      </c>
      <c r="G34" s="322" t="str">
        <f>_xlfn.IFNA(HLOOKUP(occ_select, skill_table, 28, FALSE), "")</f>
        <v>Prowl</v>
      </c>
      <c r="H34" s="323"/>
      <c r="I34" s="323"/>
      <c r="J34" s="323"/>
      <c r="K34" s="324"/>
      <c r="L34" s="9" t="str">
        <f>_xlfn.IFNA(HLOOKUP(occ_select, skill_percent, 28, FALSE), "")</f>
        <v>25 %</v>
      </c>
      <c r="M34" s="325">
        <f>_xlfn.IFNA(HLOOKUP(occ_select, skill_table, 43, FALSE), "")</f>
        <v>0</v>
      </c>
      <c r="N34" s="326"/>
      <c r="O34" s="326"/>
      <c r="P34" s="326"/>
      <c r="Q34" s="9" t="str">
        <f>_xlfn.IFNA(HLOOKUP(occ_select, skill_percent, 43, FALSE), "")</f>
        <v>0 %</v>
      </c>
    </row>
    <row r="35" spans="1:17" ht="12.75" customHeight="1" x14ac:dyDescent="0.25">
      <c r="A35" s="322" t="str">
        <f>_xlfn.IFNA(HLOOKUP(occ_select, skill_table, 14, FALSE), "")</f>
        <v>W.P. Shield</v>
      </c>
      <c r="B35" s="323"/>
      <c r="C35" s="323"/>
      <c r="D35" s="323"/>
      <c r="E35" s="324"/>
      <c r="F35" s="9" t="str">
        <f>_xlfn.IFNA(HLOOKUP(occ_select, skill_percent, 14, FALSE), "")</f>
        <v>0 %</v>
      </c>
      <c r="G35" s="322" t="str">
        <f>_xlfn.IFNA(HLOOKUP(occ_select, skill_table, 29, FALSE), "")</f>
        <v>Wilderness Survival</v>
      </c>
      <c r="H35" s="323"/>
      <c r="I35" s="323"/>
      <c r="J35" s="323"/>
      <c r="K35" s="324"/>
      <c r="L35" s="9" t="str">
        <f>_xlfn.IFNA(HLOOKUP(occ_select, skill_percent, 29, FALSE), "")</f>
        <v>30 %</v>
      </c>
      <c r="M35" s="325">
        <f>_xlfn.IFNA(HLOOKUP(occ_select, skill_table, 44, FALSE), "")</f>
        <v>0</v>
      </c>
      <c r="N35" s="326"/>
      <c r="O35" s="326"/>
      <c r="P35" s="326"/>
      <c r="Q35" s="9" t="str">
        <f>_xlfn.IFNA(HLOOKUP(occ_select, skill_percent, 44, FALSE), "")</f>
        <v>0 %</v>
      </c>
    </row>
    <row r="36" spans="1:17" ht="12.75" customHeight="1" x14ac:dyDescent="0.25">
      <c r="A36" s="322" t="str">
        <f>_xlfn.IFNA(HLOOKUP(occ_select, skill_table, 15, FALSE), "")</f>
        <v>W.P. Spear</v>
      </c>
      <c r="B36" s="323"/>
      <c r="C36" s="323"/>
      <c r="D36" s="323"/>
      <c r="E36" s="324"/>
      <c r="F36" s="9" t="str">
        <f>_xlfn.IFNA(HLOOKUP(occ_select, skill_percent, 15, FALSE), "")</f>
        <v>0 %</v>
      </c>
      <c r="G36" s="322">
        <f>_xlfn.IFNA(HLOOKUP(occ_select, skill_table, 30, FALSE), "")</f>
        <v>0</v>
      </c>
      <c r="H36" s="323"/>
      <c r="I36" s="323"/>
      <c r="J36" s="323"/>
      <c r="K36" s="324"/>
      <c r="L36" s="9" t="str">
        <f>_xlfn.IFNA(HLOOKUP(occ_select, skill_percent, 30, FALSE), "")</f>
        <v>0 %</v>
      </c>
      <c r="M36" s="325">
        <f>_xlfn.IFNA(HLOOKUP(occ_select, skill_table, 45, FALSE), "")</f>
        <v>0</v>
      </c>
      <c r="N36" s="326"/>
      <c r="O36" s="326"/>
      <c r="P36" s="326"/>
      <c r="Q36" s="9" t="str">
        <f>_xlfn.IFNA(HLOOKUP(occ_select, skill_percent, 45, FALSE), "")</f>
        <v>0 %</v>
      </c>
    </row>
    <row r="37" spans="1:17" ht="12.75" customHeight="1" thickBot="1" x14ac:dyDescent="0.3">
      <c r="A37" s="370" t="str">
        <f>_xlfn.IFNA(HLOOKUP(occ_select, skill_table, 16, FALSE), "")</f>
        <v>W.P. Blunt</v>
      </c>
      <c r="B37" s="371"/>
      <c r="C37" s="371"/>
      <c r="D37" s="371"/>
      <c r="E37" s="372"/>
      <c r="F37" s="9" t="str">
        <f>_xlfn.IFNA(HLOOKUP(occ_select, skill_percent, 16, FALSE), "")</f>
        <v>0 %</v>
      </c>
      <c r="G37" s="370">
        <f>_xlfn.IFNA(HLOOKUP(occ_select, skill_table, 31, FALSE), "")</f>
        <v>0</v>
      </c>
      <c r="H37" s="371"/>
      <c r="I37" s="371"/>
      <c r="J37" s="371"/>
      <c r="K37" s="372"/>
      <c r="L37" s="9" t="str">
        <f>_xlfn.IFNA(HLOOKUP(occ_select, skill_percent, 31, FALSE), "")</f>
        <v>0 %</v>
      </c>
      <c r="M37" s="325">
        <f>_xlfn.IFNA(HLOOKUP(occ_select, skill_table, 46, FALSE), "")</f>
        <v>0</v>
      </c>
      <c r="N37" s="326"/>
      <c r="O37" s="326"/>
      <c r="P37" s="326"/>
      <c r="Q37" s="9" t="str">
        <f>_xlfn.IFNA(HLOOKUP(occ_select, skill_percent, 46, FALSE), "")</f>
        <v>0 %</v>
      </c>
    </row>
    <row r="38" spans="1:17" s="20" customFormat="1" ht="3.75" customHeight="1" thickBot="1" x14ac:dyDescent="0.3">
      <c r="A38" s="334"/>
      <c r="B38" s="334"/>
      <c r="C38" s="334"/>
      <c r="D38" s="334"/>
      <c r="E38" s="334"/>
      <c r="F38" s="334"/>
      <c r="G38" s="334"/>
      <c r="H38" s="334"/>
      <c r="I38" s="334"/>
      <c r="J38" s="334"/>
      <c r="K38" s="334"/>
      <c r="L38" s="334"/>
      <c r="M38" s="334"/>
      <c r="N38" s="334"/>
      <c r="O38" s="334"/>
      <c r="P38" s="334"/>
      <c r="Q38" s="334"/>
    </row>
    <row r="39" spans="1:17" s="1" customFormat="1" ht="14.25" customHeight="1" thickBot="1" x14ac:dyDescent="0.3">
      <c r="A39" s="261" t="s">
        <v>104</v>
      </c>
      <c r="B39" s="262"/>
      <c r="C39" s="262"/>
      <c r="D39" s="262"/>
      <c r="E39" s="262"/>
      <c r="F39" s="262"/>
      <c r="G39" s="262"/>
      <c r="H39" s="262"/>
      <c r="I39" s="262"/>
      <c r="J39" s="262"/>
      <c r="K39" s="262"/>
      <c r="L39" s="262"/>
      <c r="M39" s="262"/>
      <c r="N39" s="262"/>
      <c r="O39" s="262"/>
      <c r="P39" s="262"/>
      <c r="Q39" s="263"/>
    </row>
    <row r="40" spans="1:17" s="4" customFormat="1" ht="12.75" customHeight="1" x14ac:dyDescent="0.25">
      <c r="A40" s="346" t="s">
        <v>73</v>
      </c>
      <c r="B40" s="347"/>
      <c r="C40" s="347"/>
      <c r="D40" s="348"/>
      <c r="E40" s="40">
        <f>_xlfn.IFNA(VLOOKUP(occ_select, save_bonus, 2, FALSE), "")</f>
        <v>0</v>
      </c>
      <c r="F40" s="316" t="s">
        <v>108</v>
      </c>
      <c r="G40" s="317"/>
      <c r="H40" s="317"/>
      <c r="I40" s="318"/>
      <c r="J40" s="40">
        <f>_xlfn.IFNA(VLOOKUP(occ_select, save_bonus, 9, FALSE), "")</f>
        <v>3</v>
      </c>
      <c r="K40" s="316" t="s">
        <v>109</v>
      </c>
      <c r="L40" s="317"/>
      <c r="M40" s="318"/>
      <c r="N40" s="40">
        <f>_xlfn.IFNA(VLOOKUP(occ_select, save_bonus, 10, FALSE), "")</f>
        <v>0</v>
      </c>
      <c r="O40" s="316" t="s">
        <v>99</v>
      </c>
      <c r="P40" s="318"/>
      <c r="Q40" s="41">
        <f>_xlfn.IFNA(VLOOKUP(occ_select, save_bonus, 12, FALSE), "")</f>
        <v>2</v>
      </c>
    </row>
    <row r="41" spans="1:17" s="4" customFormat="1" ht="12.75" customHeight="1" x14ac:dyDescent="0.25">
      <c r="A41" s="360" t="s">
        <v>95</v>
      </c>
      <c r="B41" s="320"/>
      <c r="C41" s="320"/>
      <c r="D41" s="321"/>
      <c r="E41" s="5">
        <f>_xlfn.IFNA(VLOOKUP(occ_select, save_bonus, 3, FALSE), "")</f>
        <v>0</v>
      </c>
      <c r="F41" s="319" t="s">
        <v>94</v>
      </c>
      <c r="G41" s="320"/>
      <c r="H41" s="320"/>
      <c r="I41" s="321"/>
      <c r="J41" s="5">
        <f>_xlfn.IFNA(VLOOKUP(occ_select, save_bonus, 5, FALSE), "")</f>
        <v>1</v>
      </c>
      <c r="K41" s="316" t="s">
        <v>106</v>
      </c>
      <c r="L41" s="317"/>
      <c r="M41" s="318"/>
      <c r="N41" s="5">
        <f>_xlfn.IFNA(VLOOKUP(occ_select, save_bonus, 7, FALSE), "")</f>
        <v>0</v>
      </c>
      <c r="O41" s="316" t="s">
        <v>98</v>
      </c>
      <c r="P41" s="318"/>
      <c r="Q41" s="6">
        <f>_xlfn.IFNA(VLOOKUP(occ_select, save_bonus, 11, FALSE), "")</f>
        <v>0</v>
      </c>
    </row>
    <row r="42" spans="1:17" s="4" customFormat="1" ht="12.75" customHeight="1" thickBot="1" x14ac:dyDescent="0.3">
      <c r="A42" s="354" t="s">
        <v>69</v>
      </c>
      <c r="B42" s="355"/>
      <c r="C42" s="355"/>
      <c r="D42" s="356"/>
      <c r="E42" s="43">
        <f>_xlfn.IFNA(VLOOKUP(occ_select, save_bonus, 4, FALSE), "")</f>
        <v>0</v>
      </c>
      <c r="F42" s="361" t="s">
        <v>101</v>
      </c>
      <c r="G42" s="355"/>
      <c r="H42" s="355"/>
      <c r="I42" s="356"/>
      <c r="J42" s="43">
        <f>_xlfn.IFNA(VLOOKUP(occ_select, save_bonus, 6, FALSE), "")</f>
        <v>0</v>
      </c>
      <c r="K42" s="361" t="s">
        <v>107</v>
      </c>
      <c r="L42" s="355"/>
      <c r="M42" s="356"/>
      <c r="N42" s="43">
        <f>_xlfn.IFNA(VLOOKUP(occ_select, save_bonus, 8, FALSE), "")</f>
        <v>0</v>
      </c>
      <c r="O42" s="361" t="s">
        <v>100</v>
      </c>
      <c r="P42" s="356"/>
      <c r="Q42" s="62">
        <f>_xlfn.IFNA(VLOOKUP(occ_select, save_bonus, 13, FALSE), "")</f>
        <v>0</v>
      </c>
    </row>
    <row r="43" spans="1:17" s="20" customFormat="1" ht="3.75" customHeight="1" thickBot="1" x14ac:dyDescent="0.3">
      <c r="A43" s="334"/>
      <c r="B43" s="334"/>
      <c r="C43" s="334"/>
      <c r="D43" s="334"/>
      <c r="E43" s="334"/>
      <c r="F43" s="334"/>
      <c r="G43" s="334"/>
      <c r="H43" s="334"/>
      <c r="I43" s="334"/>
      <c r="J43" s="334"/>
      <c r="K43" s="334"/>
      <c r="L43" s="334"/>
      <c r="M43" s="334"/>
      <c r="N43" s="334"/>
      <c r="O43" s="334"/>
      <c r="P43" s="334"/>
      <c r="Q43" s="334"/>
    </row>
    <row r="44" spans="1:17" ht="14.25" customHeight="1" thickBot="1" x14ac:dyDescent="0.3">
      <c r="A44" s="357" t="s">
        <v>51</v>
      </c>
      <c r="B44" s="358"/>
      <c r="C44" s="358"/>
      <c r="D44" s="358"/>
      <c r="E44" s="358"/>
      <c r="F44" s="358"/>
      <c r="G44" s="358"/>
      <c r="H44" s="358"/>
      <c r="I44" s="358"/>
      <c r="J44" s="358"/>
      <c r="K44" s="358"/>
      <c r="L44" s="358"/>
      <c r="M44" s="358"/>
      <c r="N44" s="358"/>
      <c r="O44" s="358"/>
      <c r="P44" s="358"/>
      <c r="Q44" s="359"/>
    </row>
    <row r="45" spans="1:17" s="11" customFormat="1" ht="12.75" customHeight="1" x14ac:dyDescent="0.2">
      <c r="A45" s="418" t="s">
        <v>75</v>
      </c>
      <c r="B45" s="419"/>
      <c r="C45" s="419"/>
      <c r="D45" s="431" t="str">
        <f>_xlfn.IFNA(VLOOKUP(occ_select, hth_select, 2, FALSE), "")</f>
        <v>Basic</v>
      </c>
      <c r="E45" s="431"/>
      <c r="F45" s="432"/>
      <c r="G45" s="333" t="s">
        <v>52</v>
      </c>
      <c r="H45" s="333"/>
      <c r="I45" s="333"/>
      <c r="J45" s="333"/>
      <c r="K45" s="13">
        <f>_xlfn.IFNA(VLOOKUP(occ_select, combat_bonus, 2, FALSE), "")</f>
        <v>4</v>
      </c>
      <c r="L45" s="333" t="s">
        <v>55</v>
      </c>
      <c r="M45" s="333"/>
      <c r="N45" s="8">
        <f>_xlfn.IFNA(VLOOKUP(occ_select, combat_bonus, 11, FALSE), "")</f>
        <v>18</v>
      </c>
      <c r="O45" s="319" t="s">
        <v>56</v>
      </c>
      <c r="P45" s="321"/>
      <c r="Q45" s="30">
        <f>_xlfn.IFNA(VLOOKUP(occ_select, combat_bonus, 10, FALSE), "")</f>
        <v>25</v>
      </c>
    </row>
    <row r="46" spans="1:17" ht="12.75" customHeight="1" x14ac:dyDescent="0.25">
      <c r="A46" s="312" t="s">
        <v>53</v>
      </c>
      <c r="B46" s="313"/>
      <c r="C46" s="314"/>
      <c r="D46" s="12">
        <f>_xlfn.IFNA(VLOOKUP(occ_select, combat_bonus, 3, FALSE), "")</f>
        <v>0</v>
      </c>
      <c r="E46" s="365" t="s">
        <v>49</v>
      </c>
      <c r="F46" s="365"/>
      <c r="G46" s="8">
        <f>_xlfn.IFNA(VLOOKUP(occ_select, combat_bonus, 4, FALSE), "")</f>
        <v>0</v>
      </c>
      <c r="H46" s="341" t="s">
        <v>50</v>
      </c>
      <c r="I46" s="341"/>
      <c r="J46" s="341"/>
      <c r="K46" s="12">
        <f>_xlfn.IFNA(VLOOKUP(occ_select, combat_bonus, 5, FALSE), "")</f>
        <v>0</v>
      </c>
      <c r="L46" s="328" t="s">
        <v>54</v>
      </c>
      <c r="M46" s="328"/>
      <c r="N46" s="12">
        <f>_xlfn.IFNA(VLOOKUP(occ_select, combat_bonus, 6, FALSE), "")</f>
        <v>0</v>
      </c>
      <c r="O46" s="433" t="s">
        <v>57</v>
      </c>
      <c r="P46" s="434"/>
      <c r="Q46" s="31">
        <f>_xlfn.IFNA(VLOOKUP(occ_select, combat_bonus, 7, FALSE), "")</f>
        <v>2</v>
      </c>
    </row>
    <row r="47" spans="1:17" ht="12.75" customHeight="1" thickBot="1" x14ac:dyDescent="0.3">
      <c r="A47" s="351" t="s">
        <v>58</v>
      </c>
      <c r="B47" s="352"/>
      <c r="C47" s="353"/>
      <c r="D47" s="17">
        <f>_xlfn.IFNA(VLOOKUP(occ_select, combat_bonus, 8, FALSE), "")</f>
        <v>3</v>
      </c>
      <c r="E47" s="342" t="s">
        <v>79</v>
      </c>
      <c r="F47" s="342"/>
      <c r="G47" s="29">
        <f>_xlfn.IFNA(VLOOKUP(occ_select, combat_bonus, 9, FALSE), "")</f>
        <v>10</v>
      </c>
      <c r="H47" s="342" t="s">
        <v>91</v>
      </c>
      <c r="I47" s="342"/>
      <c r="J47" s="342"/>
      <c r="K47" s="29">
        <f>_xlfn.IFNA(VLOOKUP(hand_to_hand&amp;" "&amp;calc_lev, hth_bonus, 10, FALSE), "")</f>
        <v>20</v>
      </c>
      <c r="L47" s="361" t="s">
        <v>59</v>
      </c>
      <c r="M47" s="356"/>
      <c r="N47" s="192">
        <f>_xlfn.IFNA(VLOOKUP(hand_to_hand&amp;" "&amp;calc_lev, hth_bonus, 11, FALSE), "")</f>
        <v>0</v>
      </c>
      <c r="O47" s="361" t="s">
        <v>76</v>
      </c>
      <c r="P47" s="356"/>
      <c r="Q47" s="193">
        <f>_xlfn.IFNA(VLOOKUP(hand_to_hand&amp;" "&amp;calc_lev, hth_bonus, 12, FALSE), "")</f>
        <v>0</v>
      </c>
    </row>
    <row r="48" spans="1:17" s="20" customFormat="1" ht="3.75" customHeight="1" thickBot="1" x14ac:dyDescent="0.3">
      <c r="A48" s="334"/>
      <c r="B48" s="334"/>
      <c r="C48" s="334"/>
      <c r="D48" s="334"/>
      <c r="E48" s="334"/>
      <c r="F48" s="334"/>
      <c r="G48" s="334"/>
      <c r="H48" s="334"/>
      <c r="I48" s="334"/>
      <c r="J48" s="334"/>
      <c r="K48" s="334"/>
      <c r="L48" s="334"/>
      <c r="M48" s="334"/>
      <c r="N48" s="334"/>
      <c r="O48" s="334"/>
      <c r="P48" s="334"/>
      <c r="Q48" s="334"/>
    </row>
    <row r="49" spans="1:17" ht="14.25" customHeight="1" thickBot="1" x14ac:dyDescent="0.3">
      <c r="A49" s="261" t="s">
        <v>115</v>
      </c>
      <c r="B49" s="262"/>
      <c r="C49" s="262"/>
      <c r="D49" s="262"/>
      <c r="E49" s="262"/>
      <c r="F49" s="262"/>
      <c r="G49" s="262"/>
      <c r="H49" s="262"/>
      <c r="I49" s="262"/>
      <c r="J49" s="262"/>
      <c r="K49" s="262"/>
      <c r="L49" s="262"/>
      <c r="M49" s="262"/>
      <c r="N49" s="262"/>
      <c r="O49" s="262"/>
      <c r="P49" s="262"/>
      <c r="Q49" s="263"/>
    </row>
    <row r="50" spans="1:17" ht="12.75" customHeight="1" x14ac:dyDescent="0.25">
      <c r="A50" s="420" t="s">
        <v>186</v>
      </c>
      <c r="B50" s="421"/>
      <c r="C50" s="422"/>
      <c r="D50" s="107" t="s">
        <v>111</v>
      </c>
      <c r="E50" s="423" t="str">
        <f>_xlfn.IFNA(VLOOKUP(occ_select, wp_main, 2, FALSE), "")</f>
        <v>Short Spear</v>
      </c>
      <c r="F50" s="424"/>
      <c r="G50" s="107" t="s">
        <v>49</v>
      </c>
      <c r="H50" s="403">
        <f>total_strike+_xlfn.IFNA(VLOOKUP(main_weapon, weapon_ref, 8, FALSE), "")</f>
        <v>1</v>
      </c>
      <c r="I50" s="404"/>
      <c r="J50" s="108" t="s">
        <v>50</v>
      </c>
      <c r="K50" s="182">
        <f>total_parry+VLOOKUP(main_weapon, weapon_ref, 9, FALSE)</f>
        <v>1</v>
      </c>
      <c r="L50" s="343" t="s">
        <v>112</v>
      </c>
      <c r="M50" s="344"/>
      <c r="N50" s="185" t="str">
        <f>_xlfn.IFNA(VLOOKUP(main_weapon, weapon_ref, 6, FALSE), "")&amp;"D6"</f>
        <v>1D6</v>
      </c>
      <c r="O50" s="186" t="str">
        <f>plus&amp;_xlfn.IFNA(VLOOKUP(main_weapon, weapon_ref, 7, FALSE), "")</f>
        <v>+10</v>
      </c>
      <c r="P50" s="187" t="str">
        <f>_xlfn.IFNA(VLOOKUP(main_weapon, weapon_ref, 11, FALSE), "")</f>
        <v>Range</v>
      </c>
      <c r="Q50" s="188">
        <f>_xlfn.IFNA(VLOOKUP(main_weapon, weapon_ref, 12, FALSE), "")</f>
        <v>100</v>
      </c>
    </row>
    <row r="51" spans="1:17" ht="12.75" customHeight="1" x14ac:dyDescent="0.25">
      <c r="A51" s="322" t="s">
        <v>187</v>
      </c>
      <c r="B51" s="323"/>
      <c r="C51" s="324"/>
      <c r="D51" s="106" t="s">
        <v>111</v>
      </c>
      <c r="E51" s="425" t="str">
        <f>_xlfn.IFNA(VLOOKUP(occ_select, wp_alt, 2, FALSE), "")</f>
        <v>Small Shield</v>
      </c>
      <c r="F51" s="426"/>
      <c r="G51" s="106" t="s">
        <v>49</v>
      </c>
      <c r="H51" s="435">
        <f>total_strike+_xlfn.IFNA(VLOOKUP(alt_weapon, weapon_ref, 8, FALSE), "")</f>
        <v>0</v>
      </c>
      <c r="I51" s="436"/>
      <c r="J51" s="106" t="s">
        <v>50</v>
      </c>
      <c r="K51" s="183">
        <f>total_parry+VLOOKUP(alt_weapon, weapon_ref, 9, FALSE)</f>
        <v>1</v>
      </c>
      <c r="L51" s="345" t="s">
        <v>112</v>
      </c>
      <c r="M51" s="313"/>
      <c r="N51" s="189" t="str">
        <f>_xlfn.IFNA(VLOOKUP(alt_weapon, weapon_ref, 6, FALSE), "")&amp;"D6"</f>
        <v>1D6</v>
      </c>
      <c r="O51" s="186" t="str">
        <f>plus&amp;_xlfn.IFNA(VLOOKUP(alt_weapon, weapon_ref, 7, FALSE), "")</f>
        <v>+10</v>
      </c>
      <c r="P51" s="190">
        <f>_xlfn.IFNA(VLOOKUP(alt_weapon, weapon_ref, 11, FALSE), "")</f>
        <v>0</v>
      </c>
      <c r="Q51" s="191">
        <f>_xlfn.IFNA(VLOOKUP(alt_weapon, weapon_ref, 12, FALSE), "")</f>
        <v>0</v>
      </c>
    </row>
    <row r="52" spans="1:17" ht="12.75" customHeight="1" thickBot="1" x14ac:dyDescent="0.3">
      <c r="A52" s="370" t="s">
        <v>110</v>
      </c>
      <c r="B52" s="371"/>
      <c r="C52" s="372"/>
      <c r="D52" s="105" t="s">
        <v>111</v>
      </c>
      <c r="E52" s="427" t="str">
        <f>_xlfn.IFNA(VLOOKUP(occ_select, armor_type, 2, FALSE), "")</f>
        <v>Chain Mail</v>
      </c>
      <c r="F52" s="428"/>
      <c r="G52" s="105" t="s">
        <v>113</v>
      </c>
      <c r="H52" s="437">
        <f>_xlfn.IFNA(VLOOKUP(armor, armor_select, 2, FALSE), "")</f>
        <v>14</v>
      </c>
      <c r="I52" s="438"/>
      <c r="J52" s="105" t="s">
        <v>56</v>
      </c>
      <c r="K52" s="184">
        <f>_xlfn.IFNA(VLOOKUP(armor, armor_select, 3, FALSE), "")</f>
        <v>44</v>
      </c>
      <c r="L52" s="397" t="s">
        <v>114</v>
      </c>
      <c r="M52" s="353"/>
      <c r="N52" s="427" t="str">
        <f>_xlfn.IFNA(VLOOKUP(armor, armor_select, 4, FALSE), "")</f>
        <v>-10% prowl, climb, &amp; swim</v>
      </c>
      <c r="O52" s="429"/>
      <c r="P52" s="429"/>
      <c r="Q52" s="430"/>
    </row>
    <row r="53" spans="1:17" s="20" customFormat="1" ht="3.75" customHeight="1" thickBot="1" x14ac:dyDescent="0.3">
      <c r="A53" s="334"/>
      <c r="B53" s="334"/>
      <c r="C53" s="334"/>
      <c r="D53" s="334"/>
      <c r="E53" s="334"/>
      <c r="F53" s="334"/>
      <c r="G53" s="334"/>
      <c r="H53" s="334"/>
      <c r="I53" s="334"/>
      <c r="J53" s="334"/>
      <c r="K53" s="334"/>
      <c r="L53" s="334"/>
      <c r="M53" s="334"/>
      <c r="N53" s="334"/>
      <c r="O53" s="334"/>
      <c r="P53" s="334"/>
      <c r="Q53" s="334"/>
    </row>
    <row r="54" spans="1:17" ht="14.25" customHeight="1" thickBot="1" x14ac:dyDescent="0.3">
      <c r="A54" s="357" t="str">
        <f>ability_type</f>
        <v>No Special Abilities</v>
      </c>
      <c r="B54" s="358"/>
      <c r="C54" s="358"/>
      <c r="D54" s="358"/>
      <c r="E54" s="358"/>
      <c r="F54" s="358"/>
      <c r="G54" s="358"/>
      <c r="H54" s="358"/>
      <c r="I54" s="358"/>
      <c r="J54" s="358"/>
      <c r="K54" s="358"/>
      <c r="L54" s="358"/>
      <c r="M54" s="358"/>
      <c r="N54" s="358"/>
      <c r="O54" s="358"/>
      <c r="P54" s="358"/>
      <c r="Q54" s="359"/>
    </row>
    <row r="55" spans="1:17" ht="12.75" customHeight="1" x14ac:dyDescent="0.25">
      <c r="A55" s="439" t="str">
        <f>_xlfn.IFNA(VLOOKUP(ability_type, 'Primary Worksheet'!B20:I26, 4, FALSE), "")</f>
        <v>Nightvision 90 ft (27.4 m).</v>
      </c>
      <c r="B55" s="440"/>
      <c r="C55" s="440"/>
      <c r="D55" s="440"/>
      <c r="E55" s="440"/>
      <c r="F55" s="440"/>
      <c r="G55" s="440"/>
      <c r="H55" s="440"/>
      <c r="I55" s="440"/>
      <c r="J55" s="440"/>
      <c r="K55" s="440"/>
      <c r="L55" s="440"/>
      <c r="M55" s="440"/>
      <c r="N55" s="440"/>
      <c r="O55" s="440"/>
      <c r="P55" s="440"/>
      <c r="Q55" s="441"/>
    </row>
    <row r="56" spans="1:17" ht="12.75" customHeight="1" x14ac:dyDescent="0.25">
      <c r="A56" s="362">
        <f>_xlfn.IFNA(VLOOKUP(ability_type, 'Primary Worksheet'!B20:I26, 5, FALSE), "")</f>
        <v>0</v>
      </c>
      <c r="B56" s="363"/>
      <c r="C56" s="363"/>
      <c r="D56" s="363"/>
      <c r="E56" s="363"/>
      <c r="F56" s="363"/>
      <c r="G56" s="363"/>
      <c r="H56" s="363"/>
      <c r="I56" s="363"/>
      <c r="J56" s="363"/>
      <c r="K56" s="363"/>
      <c r="L56" s="363"/>
      <c r="M56" s="363"/>
      <c r="N56" s="363"/>
      <c r="O56" s="363"/>
      <c r="P56" s="363"/>
      <c r="Q56" s="364"/>
    </row>
    <row r="57" spans="1:17" ht="12.75" customHeight="1" x14ac:dyDescent="0.25">
      <c r="A57" s="362">
        <f>_xlfn.IFNA(VLOOKUP(ability_type, 'Primary Worksheet'!B20:I26, 6, FALSE), "")</f>
        <v>0</v>
      </c>
      <c r="B57" s="363"/>
      <c r="C57" s="363"/>
      <c r="D57" s="363"/>
      <c r="E57" s="363"/>
      <c r="F57" s="363"/>
      <c r="G57" s="363"/>
      <c r="H57" s="363"/>
      <c r="I57" s="363"/>
      <c r="J57" s="363"/>
      <c r="K57" s="363"/>
      <c r="L57" s="363"/>
      <c r="M57" s="363"/>
      <c r="N57" s="363"/>
      <c r="O57" s="363"/>
      <c r="P57" s="363"/>
      <c r="Q57" s="364"/>
    </row>
    <row r="58" spans="1:17" ht="12.75" customHeight="1" x14ac:dyDescent="0.25">
      <c r="A58" s="362">
        <f>_xlfn.IFNA(VLOOKUP(ability_type, 'Primary Worksheet'!B20:I26, 7, FALSE), "")</f>
        <v>0</v>
      </c>
      <c r="B58" s="363"/>
      <c r="C58" s="363"/>
      <c r="D58" s="363"/>
      <c r="E58" s="363"/>
      <c r="F58" s="363"/>
      <c r="G58" s="363"/>
      <c r="H58" s="363"/>
      <c r="I58" s="363"/>
      <c r="J58" s="363"/>
      <c r="K58" s="363"/>
      <c r="L58" s="363"/>
      <c r="M58" s="363"/>
      <c r="N58" s="363"/>
      <c r="O58" s="363"/>
      <c r="P58" s="363"/>
      <c r="Q58" s="364"/>
    </row>
    <row r="59" spans="1:17" ht="12.75" customHeight="1" thickBot="1" x14ac:dyDescent="0.3">
      <c r="A59" s="415">
        <f>_xlfn.IFNA(VLOOKUP(ability_type, 'Primary Worksheet'!B20:I26, 8, FALSE), "")</f>
        <v>0</v>
      </c>
      <c r="B59" s="416"/>
      <c r="C59" s="416"/>
      <c r="D59" s="416"/>
      <c r="E59" s="416"/>
      <c r="F59" s="416"/>
      <c r="G59" s="416"/>
      <c r="H59" s="416"/>
      <c r="I59" s="416"/>
      <c r="J59" s="416"/>
      <c r="K59" s="416"/>
      <c r="L59" s="416"/>
      <c r="M59" s="416"/>
      <c r="N59" s="416"/>
      <c r="O59" s="416"/>
      <c r="P59" s="416"/>
      <c r="Q59" s="417"/>
    </row>
    <row r="60" spans="1:17" ht="12.75" customHeight="1" x14ac:dyDescent="0.25"/>
    <row r="61" spans="1:17" ht="12.75" customHeight="1" x14ac:dyDescent="0.25"/>
    <row r="62" spans="1:17" ht="12.75" customHeight="1" x14ac:dyDescent="0.25"/>
    <row r="63" spans="1:17" ht="12.75" customHeight="1" x14ac:dyDescent="0.25"/>
    <row r="64" spans="1:17"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sheetData>
  <sheetProtection algorithmName="SHA-512" hashValue="/SrIZdQKX0kSXsKISJXTG6Ol6c0LVFe+lggsZtNlFxQ/gza9puJnhAIuHfgKj8O1e45iyio8jt+P9cMLi+XTTg==" saltValue="A++/bD1rJheP1ADexlpsjg==" spinCount="100000" sheet="1" selectLockedCells="1"/>
  <mergeCells count="168">
    <mergeCell ref="A53:Q53"/>
    <mergeCell ref="A59:Q59"/>
    <mergeCell ref="A45:C45"/>
    <mergeCell ref="A50:C50"/>
    <mergeCell ref="A51:C51"/>
    <mergeCell ref="A52:C52"/>
    <mergeCell ref="A57:Q57"/>
    <mergeCell ref="E50:F50"/>
    <mergeCell ref="E51:F51"/>
    <mergeCell ref="E52:F52"/>
    <mergeCell ref="L52:M52"/>
    <mergeCell ref="N52:Q52"/>
    <mergeCell ref="A49:Q49"/>
    <mergeCell ref="D45:F45"/>
    <mergeCell ref="G45:J45"/>
    <mergeCell ref="O45:P45"/>
    <mergeCell ref="L45:M45"/>
    <mergeCell ref="O46:P46"/>
    <mergeCell ref="L46:M46"/>
    <mergeCell ref="A58:Q58"/>
    <mergeCell ref="H51:I51"/>
    <mergeCell ref="H52:I52"/>
    <mergeCell ref="A54:Q54"/>
    <mergeCell ref="A55:Q55"/>
    <mergeCell ref="H50:I50"/>
    <mergeCell ref="A12:Q12"/>
    <mergeCell ref="C3:C11"/>
    <mergeCell ref="A20:Q20"/>
    <mergeCell ref="A38:Q38"/>
    <mergeCell ref="B14:C14"/>
    <mergeCell ref="A19:E19"/>
    <mergeCell ref="A18:E18"/>
    <mergeCell ref="A17:E17"/>
    <mergeCell ref="A29:E29"/>
    <mergeCell ref="D9:E9"/>
    <mergeCell ref="D10:E10"/>
    <mergeCell ref="D11:E11"/>
    <mergeCell ref="G16:K16"/>
    <mergeCell ref="A13:Q13"/>
    <mergeCell ref="M16:P16"/>
    <mergeCell ref="P11:Q11"/>
    <mergeCell ref="M9:O9"/>
    <mergeCell ref="P9:Q9"/>
    <mergeCell ref="P10:Q10"/>
    <mergeCell ref="M28:P28"/>
    <mergeCell ref="M29:P29"/>
    <mergeCell ref="F9:G9"/>
    <mergeCell ref="F10:G10"/>
    <mergeCell ref="H5:I5"/>
    <mergeCell ref="H8:I8"/>
    <mergeCell ref="H9:J9"/>
    <mergeCell ref="H10:J10"/>
    <mergeCell ref="H11:J11"/>
    <mergeCell ref="K9:L9"/>
    <mergeCell ref="K10:L10"/>
    <mergeCell ref="G26:K26"/>
    <mergeCell ref="G27:K27"/>
    <mergeCell ref="G17:K17"/>
    <mergeCell ref="G18:K18"/>
    <mergeCell ref="F11:G11"/>
    <mergeCell ref="K11:L11"/>
    <mergeCell ref="G15:K15"/>
    <mergeCell ref="G14:K14"/>
    <mergeCell ref="A1:Q1"/>
    <mergeCell ref="A3:B3"/>
    <mergeCell ref="D4:E4"/>
    <mergeCell ref="F8:G8"/>
    <mergeCell ref="D3:Q3"/>
    <mergeCell ref="F4:J4"/>
    <mergeCell ref="F7:J7"/>
    <mergeCell ref="K6:M6"/>
    <mergeCell ref="K7:M7"/>
    <mergeCell ref="K8:M8"/>
    <mergeCell ref="N6:Q6"/>
    <mergeCell ref="N7:Q7"/>
    <mergeCell ref="N8:Q8"/>
    <mergeCell ref="N5:Q5"/>
    <mergeCell ref="K4:M4"/>
    <mergeCell ref="N4:Q4"/>
    <mergeCell ref="D5:E5"/>
    <mergeCell ref="D7:E7"/>
    <mergeCell ref="D6:E6"/>
    <mergeCell ref="K5:M5"/>
    <mergeCell ref="D8:E8"/>
    <mergeCell ref="A2:Q2"/>
    <mergeCell ref="F5:G5"/>
    <mergeCell ref="F6:J6"/>
    <mergeCell ref="A56:Q56"/>
    <mergeCell ref="E46:F46"/>
    <mergeCell ref="L47:M47"/>
    <mergeCell ref="O47:P47"/>
    <mergeCell ref="E47:F47"/>
    <mergeCell ref="M22:P22"/>
    <mergeCell ref="A23:E23"/>
    <mergeCell ref="G23:K23"/>
    <mergeCell ref="G24:K24"/>
    <mergeCell ref="G25:K25"/>
    <mergeCell ref="A24:E24"/>
    <mergeCell ref="A25:E25"/>
    <mergeCell ref="A26:E26"/>
    <mergeCell ref="G33:K33"/>
    <mergeCell ref="G34:K34"/>
    <mergeCell ref="G29:K29"/>
    <mergeCell ref="G30:K30"/>
    <mergeCell ref="G31:K31"/>
    <mergeCell ref="G32:K32"/>
    <mergeCell ref="A35:E35"/>
    <mergeCell ref="A36:E36"/>
    <mergeCell ref="A37:E37"/>
    <mergeCell ref="G37:K37"/>
    <mergeCell ref="M35:P35"/>
    <mergeCell ref="L50:M50"/>
    <mergeCell ref="L51:M51"/>
    <mergeCell ref="A40:D40"/>
    <mergeCell ref="M18:P18"/>
    <mergeCell ref="M19:P19"/>
    <mergeCell ref="A42:D42"/>
    <mergeCell ref="A44:Q44"/>
    <mergeCell ref="A46:C46"/>
    <mergeCell ref="A47:C47"/>
    <mergeCell ref="M31:P31"/>
    <mergeCell ref="G28:K28"/>
    <mergeCell ref="A41:D41"/>
    <mergeCell ref="G35:K35"/>
    <mergeCell ref="G36:K36"/>
    <mergeCell ref="A43:Q43"/>
    <mergeCell ref="F42:I42"/>
    <mergeCell ref="K40:M40"/>
    <mergeCell ref="K41:M41"/>
    <mergeCell ref="K42:M42"/>
    <mergeCell ref="O40:P40"/>
    <mergeCell ref="O41:P41"/>
    <mergeCell ref="O42:P42"/>
    <mergeCell ref="M37:P37"/>
    <mergeCell ref="M36:P36"/>
    <mergeCell ref="A48:Q48"/>
    <mergeCell ref="A34:E34"/>
    <mergeCell ref="A31:E31"/>
    <mergeCell ref="A30:E30"/>
    <mergeCell ref="A27:E27"/>
    <mergeCell ref="G22:K22"/>
    <mergeCell ref="A22:E22"/>
    <mergeCell ref="A21:Q21"/>
    <mergeCell ref="G19:K19"/>
    <mergeCell ref="M25:P25"/>
    <mergeCell ref="M26:P26"/>
    <mergeCell ref="M27:P27"/>
    <mergeCell ref="M30:P30"/>
    <mergeCell ref="M32:P32"/>
    <mergeCell ref="M33:P33"/>
    <mergeCell ref="H46:J46"/>
    <mergeCell ref="H47:J47"/>
    <mergeCell ref="A16:E16"/>
    <mergeCell ref="A15:E15"/>
    <mergeCell ref="M10:O10"/>
    <mergeCell ref="F40:I40"/>
    <mergeCell ref="F41:I41"/>
    <mergeCell ref="A28:E28"/>
    <mergeCell ref="A32:E32"/>
    <mergeCell ref="A33:E33"/>
    <mergeCell ref="A39:Q39"/>
    <mergeCell ref="M34:P34"/>
    <mergeCell ref="M17:P17"/>
    <mergeCell ref="M23:P23"/>
    <mergeCell ref="M24:P24"/>
    <mergeCell ref="M11:O11"/>
    <mergeCell ref="M14:P14"/>
    <mergeCell ref="M15:P15"/>
  </mergeCells>
  <pageMargins left="0.7" right="0.7" top="0.75" bottom="0.75" header="0.3" footer="0.3"/>
  <pageSetup orientation="portrait" horizontalDpi="4294967293" r:id="rId1"/>
  <headerFooter>
    <oddFooter>&amp;L&amp;8Copyright Palladium Books.      Palladium Fantasy is a Trademark of Palladium Books.&amp;R&amp;8For personal use only.</oddFooter>
  </headerFooter>
  <ignoredErrors>
    <ignoredError sqref="Q15"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'Primary Worksheet'!$B$20:$B$26</xm:f>
          </x14:formula1>
          <xm:sqref>F6</xm:sqref>
        </x14:dataValidation>
        <x14:dataValidation type="list" allowBlank="1" showInputMessage="1" showErrorMessage="1" xr:uid="{00000000-0002-0000-0100-000001000000}">
          <x14:formula1>
            <xm:f>'Primary Worksheet'!$I$30:$I$44</xm:f>
          </x14:formula1>
          <xm:sqref>J8</xm:sqref>
        </x14:dataValidation>
        <x14:dataValidation type="list" allowBlank="1" showInputMessage="1" showErrorMessage="1" xr:uid="{00000000-0002-0000-0100-000002000000}">
          <x14:formula1>
            <xm:f>'Primary Worksheet'!$C$4:$C$6</xm:f>
          </x14:formula1>
          <xm:sqref>F7:J7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O212"/>
  <sheetViews>
    <sheetView zoomScaleNormal="100" workbookViewId="0">
      <selection activeCell="C4" sqref="C4:D4"/>
    </sheetView>
  </sheetViews>
  <sheetFormatPr defaultRowHeight="15" x14ac:dyDescent="0.25"/>
  <cols>
    <col min="1" max="2" width="9.140625" customWidth="1"/>
    <col min="3" max="3" width="14.28515625" customWidth="1"/>
    <col min="5" max="6" width="9.140625" customWidth="1"/>
    <col min="10" max="10" width="2.85546875" customWidth="1"/>
    <col min="11" max="12" width="6" customWidth="1"/>
    <col min="13" max="13" width="0.7109375" customWidth="1"/>
    <col min="14" max="14" width="5.28515625" customWidth="1"/>
    <col min="15" max="17" width="6" customWidth="1"/>
    <col min="18" max="18" width="0.7109375" customWidth="1"/>
    <col min="19" max="19" width="5.28515625" customWidth="1"/>
    <col min="20" max="27" width="6" customWidth="1"/>
    <col min="28" max="28" width="6" style="20" customWidth="1"/>
  </cols>
  <sheetData>
    <row r="1" spans="1:41" ht="15.75" thickBot="1" x14ac:dyDescent="0.3">
      <c r="A1" s="261" t="s">
        <v>336</v>
      </c>
      <c r="B1" s="262"/>
      <c r="C1" s="262"/>
      <c r="D1" s="262"/>
      <c r="E1" s="262"/>
      <c r="F1" s="262"/>
      <c r="G1" s="262"/>
      <c r="H1" s="262"/>
      <c r="I1" s="263"/>
      <c r="K1" s="468" t="str">
        <f>class_1</f>
        <v>Soldier</v>
      </c>
      <c r="L1" s="469"/>
      <c r="M1" s="469"/>
      <c r="N1" s="469"/>
      <c r="O1" s="469"/>
      <c r="P1" s="470" t="str">
        <f>class_2</f>
        <v>Warrior Monk</v>
      </c>
      <c r="Q1" s="470"/>
      <c r="R1" s="470"/>
      <c r="S1" s="470"/>
      <c r="T1" s="470"/>
      <c r="U1" s="471" t="str">
        <f>class_3</f>
        <v>Blacksmith</v>
      </c>
      <c r="V1" s="471"/>
      <c r="W1" s="471"/>
      <c r="X1" s="471"/>
      <c r="Y1" s="208" t="str">
        <f>class_1</f>
        <v>Soldier</v>
      </c>
      <c r="Z1" s="209" t="str">
        <f>class_2</f>
        <v>Warrior Monk</v>
      </c>
      <c r="AA1" s="210" t="str">
        <f>class_3</f>
        <v>Blacksmith</v>
      </c>
      <c r="AB1" s="148"/>
      <c r="AC1" s="215" t="s">
        <v>15</v>
      </c>
      <c r="AD1" s="216" t="s">
        <v>86</v>
      </c>
      <c r="AE1" s="216" t="s">
        <v>53</v>
      </c>
      <c r="AF1" s="216" t="s">
        <v>49</v>
      </c>
      <c r="AG1" s="216" t="s">
        <v>50</v>
      </c>
      <c r="AH1" s="216" t="s">
        <v>54</v>
      </c>
      <c r="AI1" s="216" t="s">
        <v>162</v>
      </c>
      <c r="AJ1" s="216" t="s">
        <v>163</v>
      </c>
      <c r="AK1" s="216" t="s">
        <v>112</v>
      </c>
      <c r="AL1" s="216" t="s">
        <v>56</v>
      </c>
      <c r="AM1" s="216" t="s">
        <v>55</v>
      </c>
      <c r="AN1" s="216" t="s">
        <v>80</v>
      </c>
      <c r="AO1" s="216" t="s">
        <v>144</v>
      </c>
    </row>
    <row r="2" spans="1:41" x14ac:dyDescent="0.25">
      <c r="A2" s="237"/>
      <c r="B2" s="240"/>
      <c r="C2" s="240"/>
      <c r="D2" s="240"/>
      <c r="E2" s="240"/>
      <c r="F2" s="240"/>
      <c r="G2" s="240"/>
      <c r="H2" s="240"/>
      <c r="I2" s="241"/>
      <c r="K2" s="459" t="str">
        <f>IF(calc_lev&gt;='C1-SWT'!H2, 'C1-SWT'!A2, 0)</f>
        <v>Underground Tunneling</v>
      </c>
      <c r="L2" s="458"/>
      <c r="M2" s="458"/>
      <c r="N2" s="458"/>
      <c r="O2" s="458"/>
      <c r="P2" s="458" t="str">
        <f>IF(calc_lev&gt;='C2-SWT'!H2, 'C2-SWT'!A2, 0)</f>
        <v>Underground Tunneling</v>
      </c>
      <c r="Q2" s="458"/>
      <c r="R2" s="458"/>
      <c r="S2" s="458"/>
      <c r="T2" s="458"/>
      <c r="U2" s="458" t="str">
        <f>IF(calc_lev&gt;='C3-SWT'!H2, 'C3-SWT'!A2, 0)</f>
        <v>Underground Tunneling</v>
      </c>
      <c r="V2" s="458"/>
      <c r="W2" s="458"/>
      <c r="X2" s="458"/>
      <c r="Y2" s="211" t="str">
        <f>IF(calc_lev&gt;='C1-SWT'!H2, IF('C1-SWT'!L2&gt;98, 98, 'C1-SWT'!L2), 0)&amp;" "&amp;percent</f>
        <v>30 %</v>
      </c>
      <c r="Z2" s="211" t="str">
        <f>IF(calc_lev&gt;='C2-SWT'!H2, IF('C2-SWT'!L2&gt;98, 98, 'C2-SWT'!L2), 0)&amp;" "&amp;percent</f>
        <v>30 %</v>
      </c>
      <c r="AA2" s="212" t="str">
        <f>IF(calc_lev&gt;='C3-SWT'!H2, IF('C3-SWT'!L2&gt;98, 98, 'C3-SWT'!L2), 0)&amp;" "&amp;percent</f>
        <v>30 %</v>
      </c>
      <c r="AB2" s="136"/>
      <c r="AC2" s="199" t="str">
        <f>class_1</f>
        <v>Soldier</v>
      </c>
      <c r="AD2" s="198">
        <f>occ1_attack</f>
        <v>4</v>
      </c>
      <c r="AE2" s="198">
        <f>occ1_initiative</f>
        <v>0</v>
      </c>
      <c r="AF2" s="198">
        <f>occ1_strike</f>
        <v>0</v>
      </c>
      <c r="AG2" s="198">
        <f>occ1_parry</f>
        <v>0</v>
      </c>
      <c r="AH2" s="198">
        <f>occ1_dodge</f>
        <v>0</v>
      </c>
      <c r="AI2" s="198">
        <f>occ1_roll</f>
        <v>2</v>
      </c>
      <c r="AJ2" s="198">
        <f>occ1_pull</f>
        <v>3</v>
      </c>
      <c r="AK2" s="198">
        <f>occ1_damage</f>
        <v>10</v>
      </c>
      <c r="AL2" s="198">
        <f>occ1_sdc</f>
        <v>25</v>
      </c>
      <c r="AM2" s="198">
        <f>_xlfn.IFNA(VLOOKUP(calc_lev, occ1_hp, 3, FALSE), "")</f>
        <v>18</v>
      </c>
      <c r="AN2" s="198">
        <f>_xlfn.IFNA(VLOOKUP(calc_lev, occ1_ppe, 3, FALSE), "")</f>
        <v>10</v>
      </c>
      <c r="AO2" s="198">
        <f>_xlfn.IFNA(VLOOKUP(calc_lev, occ1_isp, 3, FALSE), "")</f>
        <v>20</v>
      </c>
    </row>
    <row r="3" spans="1:41" x14ac:dyDescent="0.25">
      <c r="A3" s="238"/>
      <c r="B3" s="456" t="s">
        <v>15</v>
      </c>
      <c r="C3" s="456"/>
      <c r="D3" s="456"/>
      <c r="E3" s="242"/>
      <c r="F3" s="235" t="s">
        <v>110</v>
      </c>
      <c r="G3" s="456" t="s">
        <v>111</v>
      </c>
      <c r="H3" s="456"/>
      <c r="I3" s="247"/>
      <c r="K3" s="459" t="str">
        <f>IF(calc_lev&gt;='C1-SWT'!H3, 'C1-SWT'!A3, 0)</f>
        <v>Underground Architecture</v>
      </c>
      <c r="L3" s="458"/>
      <c r="M3" s="458"/>
      <c r="N3" s="458"/>
      <c r="O3" s="458"/>
      <c r="P3" s="458" t="str">
        <f>IF(calc_lev&gt;='C2-SWT'!H3, 'C2-SWT'!A3, 0)</f>
        <v>Underground Architecture</v>
      </c>
      <c r="Q3" s="458"/>
      <c r="R3" s="458"/>
      <c r="S3" s="458"/>
      <c r="T3" s="458"/>
      <c r="U3" s="458" t="str">
        <f>IF(calc_lev&gt;='C3-SWT'!H3, 'C3-SWT'!A3, 0)</f>
        <v>Underground Architecture</v>
      </c>
      <c r="V3" s="458"/>
      <c r="W3" s="458"/>
      <c r="X3" s="458"/>
      <c r="Y3" s="211" t="str">
        <f>IF(calc_lev&gt;='C1-SWT'!H3, IF('C1-SWT'!L3&gt;98, 98, 'C1-SWT'!L3), 0)&amp;" "&amp;percent</f>
        <v>10 %</v>
      </c>
      <c r="Z3" s="211" t="str">
        <f>IF(calc_lev&gt;='C2-SWT'!H3, IF('C2-SWT'!L3&gt;98, 98, 'C2-SWT'!L3), 0)&amp;" "&amp;percent</f>
        <v>10 %</v>
      </c>
      <c r="AA3" s="212" t="str">
        <f>IF(calc_lev&gt;='C3-SWT'!H3, IF('C3-SWT'!L3&gt;98, 98, 'C3-SWT'!L3), 0)&amp;" "&amp;percent</f>
        <v>10 %</v>
      </c>
      <c r="AB3" s="136"/>
      <c r="AC3" s="200" t="str">
        <f>class_2</f>
        <v>Warrior Monk</v>
      </c>
      <c r="AD3" s="198">
        <f>occ2_attack</f>
        <v>4</v>
      </c>
      <c r="AE3" s="198">
        <f>occ2_initiative</f>
        <v>1</v>
      </c>
      <c r="AF3" s="198">
        <f>occ2_strike</f>
        <v>0</v>
      </c>
      <c r="AG3" s="198">
        <f>occ2_parry</f>
        <v>0</v>
      </c>
      <c r="AH3" s="198">
        <f>occ2_dodge</f>
        <v>0</v>
      </c>
      <c r="AI3" s="198">
        <f>occ2_roll</f>
        <v>3</v>
      </c>
      <c r="AJ3" s="198">
        <f>occ2_pull</f>
        <v>3</v>
      </c>
      <c r="AK3" s="198">
        <f>occ2_damage</f>
        <v>10</v>
      </c>
      <c r="AL3" s="198">
        <f>occ2_sdc</f>
        <v>15</v>
      </c>
      <c r="AM3" s="198">
        <f>_xlfn.IFNA(VLOOKUP(calc_lev, occ2_hp, 3, FALSE), "")</f>
        <v>17</v>
      </c>
      <c r="AN3" s="198">
        <f>_xlfn.IFNA(VLOOKUP(calc_lev, occ2_ppe, 3, FALSE), "")</f>
        <v>53</v>
      </c>
      <c r="AO3" s="198">
        <f>_xlfn.IFNA(VLOOKUP(calc_lev, occ2_isp, 3, FALSE), "")</f>
        <v>20</v>
      </c>
    </row>
    <row r="4" spans="1:41" x14ac:dyDescent="0.25">
      <c r="A4" s="238"/>
      <c r="B4" s="199" t="s">
        <v>153</v>
      </c>
      <c r="C4" s="467" t="s">
        <v>285</v>
      </c>
      <c r="D4" s="467"/>
      <c r="E4" s="242"/>
      <c r="F4" s="199" t="str">
        <f>class_1</f>
        <v>Soldier</v>
      </c>
      <c r="G4" s="457" t="s">
        <v>262</v>
      </c>
      <c r="H4" s="457"/>
      <c r="I4" s="247"/>
      <c r="K4" s="459" t="str">
        <f>IF(calc_lev&gt;='C1-SWT'!H4, 'C1-SWT'!A4, 0)</f>
        <v>Underground Sense of Direction</v>
      </c>
      <c r="L4" s="458"/>
      <c r="M4" s="458"/>
      <c r="N4" s="458"/>
      <c r="O4" s="458"/>
      <c r="P4" s="458" t="str">
        <f>IF(calc_lev&gt;='C2-SWT'!H4, 'C2-SWT'!A4, 0)</f>
        <v>Underground Sense of Direction</v>
      </c>
      <c r="Q4" s="458"/>
      <c r="R4" s="458"/>
      <c r="S4" s="458"/>
      <c r="T4" s="458"/>
      <c r="U4" s="458" t="str">
        <f>IF(calc_lev&gt;='C3-SWT'!H4, 'C3-SWT'!A4, 0)</f>
        <v>Underground Sense of Direction</v>
      </c>
      <c r="V4" s="458"/>
      <c r="W4" s="458"/>
      <c r="X4" s="458"/>
      <c r="Y4" s="211" t="str">
        <f>IF(calc_lev&gt;='C1-SWT'!H4, IF('C1-SWT'!L4&gt;98, 98, 'C1-SWT'!L4), 0)&amp;" "&amp;percent</f>
        <v>20 %</v>
      </c>
      <c r="Z4" s="211" t="str">
        <f>IF(calc_lev&gt;='C2-SWT'!H4, IF('C2-SWT'!L4&gt;98, 98, 'C2-SWT'!L4), 0)&amp;" "&amp;percent</f>
        <v>20 %</v>
      </c>
      <c r="AA4" s="212" t="str">
        <f>IF(calc_lev&gt;='C3-SWT'!H4, IF('C3-SWT'!L4&gt;98, 98, 'C3-SWT'!L4), 0)&amp;" "&amp;percent</f>
        <v>20 %</v>
      </c>
      <c r="AB4" s="136"/>
      <c r="AC4" s="201" t="str">
        <f>class_3</f>
        <v>Blacksmith</v>
      </c>
      <c r="AD4" s="198">
        <f>occ3_attack</f>
        <v>4</v>
      </c>
      <c r="AE4" s="198">
        <f>occ3_initiative</f>
        <v>0</v>
      </c>
      <c r="AF4" s="198">
        <f>occ3_strike</f>
        <v>0</v>
      </c>
      <c r="AG4" s="198">
        <f>occ3_parry</f>
        <v>0</v>
      </c>
      <c r="AH4" s="198">
        <f>occ3_dodge</f>
        <v>0</v>
      </c>
      <c r="AI4" s="198">
        <f>occ3_roll</f>
        <v>3</v>
      </c>
      <c r="AJ4" s="198">
        <f>occ3_pull</f>
        <v>2</v>
      </c>
      <c r="AK4" s="198">
        <f>occ3_damage</f>
        <v>10</v>
      </c>
      <c r="AL4" s="198">
        <f>occ3_sdc</f>
        <v>45</v>
      </c>
      <c r="AM4" s="198">
        <f>_xlfn.IFNA(VLOOKUP(calc_lev, occ3_hp, 3, FALSE), "")</f>
        <v>17</v>
      </c>
      <c r="AN4" s="198">
        <f>_xlfn.IFNA(VLOOKUP(calc_lev, occ3_ppe, 3, FALSE), "")</f>
        <v>0</v>
      </c>
      <c r="AO4" s="198">
        <f>_xlfn.IFNA(VLOOKUP(calc_lev, occ3_isp, 3, FALSE), "")</f>
        <v>20</v>
      </c>
    </row>
    <row r="5" spans="1:41" x14ac:dyDescent="0.25">
      <c r="A5" s="238"/>
      <c r="B5" s="200" t="s">
        <v>154</v>
      </c>
      <c r="C5" s="467" t="s">
        <v>340</v>
      </c>
      <c r="D5" s="467"/>
      <c r="E5" s="242"/>
      <c r="F5" s="200" t="str">
        <f>class_2</f>
        <v>Warrior Monk</v>
      </c>
      <c r="G5" s="457" t="s">
        <v>259</v>
      </c>
      <c r="H5" s="457"/>
      <c r="I5" s="247"/>
      <c r="K5" s="459" t="str">
        <f>IF(calc_lev&gt;='C1-SWT'!H5, 'C1-SWT'!A5, 0)</f>
        <v>Field Armorer (Metal Work)</v>
      </c>
      <c r="L5" s="458"/>
      <c r="M5" s="458"/>
      <c r="N5" s="458"/>
      <c r="O5" s="458"/>
      <c r="P5" s="458" t="str">
        <f>IF(calc_lev&gt;='C2-SWT'!H5, 'C2-SWT'!A5, 0)</f>
        <v>Field Armorer (Metal Work)</v>
      </c>
      <c r="Q5" s="458"/>
      <c r="R5" s="458"/>
      <c r="S5" s="458"/>
      <c r="T5" s="458"/>
      <c r="U5" s="458" t="str">
        <f>IF(calc_lev&gt;='C3-SWT'!H5, 'C3-SWT'!A5, 0)</f>
        <v>Gemology (Recog. Metal/Stone)</v>
      </c>
      <c r="V5" s="458"/>
      <c r="W5" s="458"/>
      <c r="X5" s="458"/>
      <c r="Y5" s="211" t="str">
        <f>IF(calc_lev&gt;='C1-SWT'!H5, IF('C1-SWT'!L5&gt;98, 98, 'C1-SWT'!L5), 0)&amp;" "&amp;percent</f>
        <v>40 %</v>
      </c>
      <c r="Z5" s="211" t="str">
        <f>IF(calc_lev&gt;='C2-SWT'!H5, IF('C2-SWT'!L5&gt;98, 98, 'C2-SWT'!L5), 0)&amp;" "&amp;percent</f>
        <v>40 %</v>
      </c>
      <c r="AA5" s="212" t="str">
        <f>IF(calc_lev&gt;='C3-SWT'!H5, IF('C3-SWT'!L5&gt;98, 98, 'C3-SWT'!L5), 0)&amp;" "&amp;percent</f>
        <v>35 %</v>
      </c>
      <c r="AB5" s="136"/>
      <c r="AC5" s="217"/>
      <c r="AD5" s="217"/>
      <c r="AE5" s="217"/>
      <c r="AF5" s="217"/>
      <c r="AG5" s="217"/>
      <c r="AH5" s="217"/>
      <c r="AI5" s="217"/>
      <c r="AJ5" s="217"/>
      <c r="AK5" s="217"/>
      <c r="AL5" s="217"/>
      <c r="AM5" s="217"/>
      <c r="AN5" s="217"/>
      <c r="AO5" s="217"/>
    </row>
    <row r="6" spans="1:41" x14ac:dyDescent="0.25">
      <c r="A6" s="238"/>
      <c r="B6" s="201" t="s">
        <v>155</v>
      </c>
      <c r="C6" s="467" t="s">
        <v>341</v>
      </c>
      <c r="D6" s="467"/>
      <c r="E6" s="242"/>
      <c r="F6" s="201" t="str">
        <f>class_3</f>
        <v>Blacksmith</v>
      </c>
      <c r="G6" s="457" t="s">
        <v>261</v>
      </c>
      <c r="H6" s="457"/>
      <c r="I6" s="247"/>
      <c r="K6" s="459" t="str">
        <f>IF(calc_lev&gt;='C1-SWT'!H6, 'C1-SWT'!A6, 0)</f>
        <v>Gemology (Recog. Metal/Stone)</v>
      </c>
      <c r="L6" s="458"/>
      <c r="M6" s="458"/>
      <c r="N6" s="458"/>
      <c r="O6" s="458"/>
      <c r="P6" s="458" t="str">
        <f>IF(calc_lev&gt;='C2-SWT'!H6, 'C2-SWT'!A6, 0)</f>
        <v>Gemology (Recog. Metal/Stone)</v>
      </c>
      <c r="Q6" s="458"/>
      <c r="R6" s="458"/>
      <c r="S6" s="458"/>
      <c r="T6" s="458"/>
      <c r="U6" s="458" t="str">
        <f>IF(calc_lev&gt;='C3-SWT'!H6, 'C3-SWT'!A6, 0)</f>
        <v>Language: Dwarven</v>
      </c>
      <c r="V6" s="458"/>
      <c r="W6" s="458"/>
      <c r="X6" s="458"/>
      <c r="Y6" s="211" t="str">
        <f>IF(calc_lev&gt;='C1-SWT'!H6, IF('C1-SWT'!L6&gt;98, 98, 'C1-SWT'!L6), 0)&amp;" "&amp;percent</f>
        <v>35 %</v>
      </c>
      <c r="Z6" s="211" t="str">
        <f>IF(calc_lev&gt;='C2-SWT'!H6, IF('C2-SWT'!L6&gt;98, 98, 'C2-SWT'!L6), 0)&amp;" "&amp;percent</f>
        <v>35 %</v>
      </c>
      <c r="AA6" s="212" t="str">
        <f>IF(calc_lev&gt;='C3-SWT'!H6, IF('C3-SWT'!L6&gt;98, 98, 'C3-SWT'!L6), 0)&amp;" "&amp;percent</f>
        <v>98 %</v>
      </c>
      <c r="AB6" s="136"/>
      <c r="AC6" s="215" t="s">
        <v>15</v>
      </c>
      <c r="AD6" s="216" t="s">
        <v>251</v>
      </c>
      <c r="AE6" s="216" t="s">
        <v>95</v>
      </c>
      <c r="AF6" s="216" t="s">
        <v>69</v>
      </c>
      <c r="AG6" s="216" t="s">
        <v>94</v>
      </c>
      <c r="AH6" s="216" t="s">
        <v>252</v>
      </c>
      <c r="AI6" s="216" t="s">
        <v>253</v>
      </c>
      <c r="AJ6" s="216" t="s">
        <v>97</v>
      </c>
      <c r="AK6" s="216" t="s">
        <v>254</v>
      </c>
      <c r="AL6" s="216" t="s">
        <v>255</v>
      </c>
      <c r="AM6" s="216" t="s">
        <v>98</v>
      </c>
      <c r="AN6" s="216" t="s">
        <v>99</v>
      </c>
      <c r="AO6" s="216" t="s">
        <v>256</v>
      </c>
    </row>
    <row r="7" spans="1:41" x14ac:dyDescent="0.25">
      <c r="A7" s="238"/>
      <c r="B7" s="242"/>
      <c r="C7" s="242"/>
      <c r="D7" s="242"/>
      <c r="E7" s="242"/>
      <c r="F7" s="242"/>
      <c r="G7" s="242"/>
      <c r="H7" s="242"/>
      <c r="I7" s="247"/>
      <c r="K7" s="459" t="str">
        <f>IF(calc_lev&gt;='C1-SWT'!H7, 'C1-SWT'!A7, 0)</f>
        <v>Climb/Scale Walls</v>
      </c>
      <c r="L7" s="458"/>
      <c r="M7" s="458"/>
      <c r="N7" s="458"/>
      <c r="O7" s="458"/>
      <c r="P7" s="458" t="str">
        <f>IF(calc_lev&gt;='C2-SWT'!H7, 'C2-SWT'!A7, 0)</f>
        <v>Language: Dwarven</v>
      </c>
      <c r="Q7" s="458"/>
      <c r="R7" s="458"/>
      <c r="S7" s="458"/>
      <c r="T7" s="458"/>
      <c r="U7" s="458" t="str">
        <f>IF(calc_lev&gt;='C3-SWT'!H7, 'C3-SWT'!A7, 0)</f>
        <v>Language: Elven</v>
      </c>
      <c r="V7" s="458"/>
      <c r="W7" s="458"/>
      <c r="X7" s="458"/>
      <c r="Y7" s="211" t="str">
        <f>IF(calc_lev&gt;='C1-SWT'!H7, IF('C1-SWT'!L7&gt;98, 98, 'C1-SWT'!L7), 0)&amp;" "&amp;percent</f>
        <v>45 %</v>
      </c>
      <c r="Z7" s="211" t="str">
        <f>IF(calc_lev&gt;='C2-SWT'!H7, IF('C2-SWT'!L7&gt;98, 98, 'C2-SWT'!L7), 0)&amp;" "&amp;percent</f>
        <v>98 %</v>
      </c>
      <c r="AA7" s="212" t="str">
        <f>IF(calc_lev&gt;='C3-SWT'!H7, IF('C3-SWT'!L7&gt;98, 98, 'C3-SWT'!L7), 0)&amp;" "&amp;percent</f>
        <v>55 %</v>
      </c>
      <c r="AB7" s="136"/>
      <c r="AC7" s="199" t="str">
        <f>class_1</f>
        <v>Soldier</v>
      </c>
      <c r="AD7" s="198">
        <f>occ1_coma</f>
        <v>0</v>
      </c>
      <c r="AE7" s="198">
        <f>occ1_psi</f>
        <v>0</v>
      </c>
      <c r="AF7" s="198">
        <f>occ1_insane</f>
        <v>0</v>
      </c>
      <c r="AG7" s="198">
        <f>occ1_magic</f>
        <v>1</v>
      </c>
      <c r="AH7" s="198">
        <f>occ1_f_mag</f>
        <v>0</v>
      </c>
      <c r="AI7" s="198">
        <f>occ1_poison</f>
        <v>0</v>
      </c>
      <c r="AJ7" s="198">
        <f>occ1_disease</f>
        <v>0</v>
      </c>
      <c r="AK7" s="198">
        <f>occ1_hf</f>
        <v>3</v>
      </c>
      <c r="AL7" s="198">
        <f>occ1_element</f>
        <v>0</v>
      </c>
      <c r="AM7" s="198">
        <f>occ1_illusion</f>
        <v>0</v>
      </c>
      <c r="AN7" s="198">
        <f>occ1_possess</f>
        <v>2</v>
      </c>
      <c r="AO7" s="198">
        <f>occ1_control</f>
        <v>0</v>
      </c>
    </row>
    <row r="8" spans="1:41" x14ac:dyDescent="0.25">
      <c r="A8" s="238"/>
      <c r="B8" s="456" t="s">
        <v>166</v>
      </c>
      <c r="C8" s="456"/>
      <c r="D8" s="242"/>
      <c r="E8" s="242"/>
      <c r="F8" s="235" t="s">
        <v>184</v>
      </c>
      <c r="G8" s="236" t="s">
        <v>111</v>
      </c>
      <c r="H8" s="236" t="s">
        <v>189</v>
      </c>
      <c r="I8" s="247"/>
      <c r="K8" s="459" t="str">
        <f>IF(calc_lev&gt;='C1-SWT'!H8, 'C1-SWT'!A8, 0)</f>
        <v>Forced March</v>
      </c>
      <c r="L8" s="458"/>
      <c r="M8" s="458"/>
      <c r="N8" s="458"/>
      <c r="O8" s="458"/>
      <c r="P8" s="458" t="str">
        <f>IF(calc_lev&gt;='C2-SWT'!H8, 'C2-SWT'!A8, 0)</f>
        <v>Languages: Elven</v>
      </c>
      <c r="Q8" s="458"/>
      <c r="R8" s="458"/>
      <c r="S8" s="458"/>
      <c r="T8" s="458"/>
      <c r="U8" s="458" t="str">
        <f>IF(calc_lev&gt;='C3-SWT'!H8, 'C3-SWT'!A8, 0)</f>
        <v>Language: (one of choice)</v>
      </c>
      <c r="V8" s="458"/>
      <c r="W8" s="458"/>
      <c r="X8" s="458"/>
      <c r="Y8" s="211" t="str">
        <f>IF(calc_lev&gt;='C1-SWT'!H8, IF('C1-SWT'!L8&gt;98, 98, 'C1-SWT'!L8), 0)&amp;" "&amp;percent</f>
        <v>0 %</v>
      </c>
      <c r="Z8" s="211" t="str">
        <f>IF(calc_lev&gt;='C2-SWT'!H8, IF('C2-SWT'!L8&gt;98, 98, 'C2-SWT'!L8), 0)&amp;" "&amp;percent</f>
        <v>60 %</v>
      </c>
      <c r="AA8" s="212" t="str">
        <f>IF(calc_lev&gt;='C3-SWT'!H8, IF('C3-SWT'!L8&gt;98, 98, 'C3-SWT'!L8), 0)&amp;" "&amp;percent</f>
        <v>55 %</v>
      </c>
      <c r="AB8" s="136"/>
      <c r="AC8" s="200" t="str">
        <f>class_2</f>
        <v>Warrior Monk</v>
      </c>
      <c r="AD8" s="198">
        <f>occ2_coma</f>
        <v>0</v>
      </c>
      <c r="AE8" s="198">
        <f>occ2_psi</f>
        <v>0</v>
      </c>
      <c r="AF8" s="198">
        <f>occ2_insane</f>
        <v>0</v>
      </c>
      <c r="AG8" s="198">
        <f>occ2_magic</f>
        <v>1</v>
      </c>
      <c r="AH8" s="198">
        <f>occ2_f_mag</f>
        <v>0</v>
      </c>
      <c r="AI8" s="198">
        <f>occ2_poison</f>
        <v>0</v>
      </c>
      <c r="AJ8" s="198">
        <f>occ2_disease</f>
        <v>0</v>
      </c>
      <c r="AK8" s="198">
        <f>occ2_hf</f>
        <v>2</v>
      </c>
      <c r="AL8" s="198">
        <f>occ2_element</f>
        <v>0</v>
      </c>
      <c r="AM8" s="198">
        <f>occ2_illusion</f>
        <v>0</v>
      </c>
      <c r="AN8" s="198">
        <f>occ2_possess</f>
        <v>2</v>
      </c>
      <c r="AO8" s="198">
        <f>occ2_control</f>
        <v>0</v>
      </c>
    </row>
    <row r="9" spans="1:41" x14ac:dyDescent="0.25">
      <c r="A9" s="238"/>
      <c r="B9" s="199" t="str">
        <f>class_1</f>
        <v>Soldier</v>
      </c>
      <c r="C9" s="227" t="s">
        <v>175</v>
      </c>
      <c r="D9" s="242"/>
      <c r="E9" s="242"/>
      <c r="F9" s="199" t="str">
        <f>class_1</f>
        <v>Soldier</v>
      </c>
      <c r="G9" s="227" t="s">
        <v>233</v>
      </c>
      <c r="H9" s="197" t="str">
        <f>_xlfn.IFNA(VLOOKUP(wp1_occ1, weapon_ref, 2, FALSE), "")</f>
        <v>Spear</v>
      </c>
      <c r="I9" s="247"/>
      <c r="K9" s="459" t="str">
        <f>IF(calc_lev&gt;='C1-SWT'!H9, 'C1-SWT'!A9, 0)</f>
        <v>Body Building &amp; Weight Lifting</v>
      </c>
      <c r="L9" s="458"/>
      <c r="M9" s="458"/>
      <c r="N9" s="458"/>
      <c r="O9" s="458"/>
      <c r="P9" s="458" t="str">
        <f>IF(calc_lev&gt;='C2-SWT'!H9, 'C2-SWT'!A9, 0)</f>
        <v>Languages: (one of choice)</v>
      </c>
      <c r="Q9" s="458"/>
      <c r="R9" s="458"/>
      <c r="S9" s="458"/>
      <c r="T9" s="458"/>
      <c r="U9" s="458" t="str">
        <f>IF(calc_lev&gt;='C3-SWT'!H9, 'C3-SWT'!A9, 0)</f>
        <v>Mathematics: Basic</v>
      </c>
      <c r="V9" s="458"/>
      <c r="W9" s="458"/>
      <c r="X9" s="458"/>
      <c r="Y9" s="211" t="str">
        <f>IF(calc_lev&gt;='C1-SWT'!H9, IF('C1-SWT'!L9&gt;98, 98, 'C1-SWT'!L9), 0)&amp;" "&amp;percent</f>
        <v>0 %</v>
      </c>
      <c r="Z9" s="211" t="str">
        <f>IF(calc_lev&gt;='C2-SWT'!H9, IF('C2-SWT'!L9&gt;98, 98, 'C2-SWT'!L9), 0)&amp;" "&amp;percent</f>
        <v>60 %</v>
      </c>
      <c r="AA9" s="212" t="str">
        <f>IF(calc_lev&gt;='C3-SWT'!H9, IF('C3-SWT'!L9&gt;98, 98, 'C3-SWT'!L9), 0)&amp;" "&amp;percent</f>
        <v>55 %</v>
      </c>
      <c r="AB9" s="136"/>
      <c r="AC9" s="201" t="str">
        <f>class_3</f>
        <v>Blacksmith</v>
      </c>
      <c r="AD9" s="198">
        <f>occ3_coma</f>
        <v>0</v>
      </c>
      <c r="AE9" s="198">
        <f>occ3_psi</f>
        <v>0</v>
      </c>
      <c r="AF9" s="198">
        <f>occ3_insane</f>
        <v>0</v>
      </c>
      <c r="AG9" s="198">
        <f>occ3_magic</f>
        <v>1</v>
      </c>
      <c r="AH9" s="198">
        <f>occ3_f_mag</f>
        <v>0</v>
      </c>
      <c r="AI9" s="198">
        <f>occ3_poison</f>
        <v>0</v>
      </c>
      <c r="AJ9" s="198">
        <f>occ3_disease</f>
        <v>0</v>
      </c>
      <c r="AK9" s="198">
        <f>occ3_hf</f>
        <v>2</v>
      </c>
      <c r="AL9" s="198">
        <f>occ3_element</f>
        <v>0</v>
      </c>
      <c r="AM9" s="198">
        <f>occ3_illusion</f>
        <v>0</v>
      </c>
      <c r="AN9" s="198">
        <f>occ3_possess</f>
        <v>2</v>
      </c>
      <c r="AO9" s="198">
        <f>occ3_control</f>
        <v>0</v>
      </c>
    </row>
    <row r="10" spans="1:41" x14ac:dyDescent="0.25">
      <c r="A10" s="238"/>
      <c r="B10" s="200" t="str">
        <f>class_2</f>
        <v>Warrior Monk</v>
      </c>
      <c r="C10" s="227" t="s">
        <v>177</v>
      </c>
      <c r="D10" s="242"/>
      <c r="E10" s="242"/>
      <c r="F10" s="200" t="str">
        <f>class_2</f>
        <v>Warrior Monk</v>
      </c>
      <c r="G10" s="227" t="s">
        <v>236</v>
      </c>
      <c r="H10" s="197" t="str">
        <f>_xlfn.IFNA(VLOOKUP(wp1_occ2, weapon_ref, 2, FALSE), "")</f>
        <v>Staff</v>
      </c>
      <c r="I10" s="247"/>
      <c r="K10" s="459" t="str">
        <f>IF(calc_lev&gt;='C1-SWT'!H10, 'C1-SWT'!A10, 0)</f>
        <v>Language: Dwarven</v>
      </c>
      <c r="L10" s="458"/>
      <c r="M10" s="458"/>
      <c r="N10" s="458"/>
      <c r="O10" s="458"/>
      <c r="P10" s="458" t="str">
        <f>IF(calc_lev&gt;='C2-SWT'!H10, 'C2-SWT'!A10, 0)</f>
        <v>Literacy: (one of choice)</v>
      </c>
      <c r="Q10" s="458"/>
      <c r="R10" s="458"/>
      <c r="S10" s="458"/>
      <c r="T10" s="458"/>
      <c r="U10" s="458" t="str">
        <f>IF(calc_lev&gt;='C3-SWT'!H10, 'C3-SWT'!A10, 0)</f>
        <v>Athletics: General</v>
      </c>
      <c r="V10" s="458"/>
      <c r="W10" s="458"/>
      <c r="X10" s="458"/>
      <c r="Y10" s="211" t="str">
        <f>IF(calc_lev&gt;='C1-SWT'!H10, IF('C1-SWT'!L10&gt;98, 98, 'C1-SWT'!L10), 0)&amp;" "&amp;percent</f>
        <v>98 %</v>
      </c>
      <c r="Z10" s="211" t="str">
        <f>IF(calc_lev&gt;='C2-SWT'!H10, IF('C2-SWT'!L10&gt;98, 98, 'C2-SWT'!L10), 0)&amp;" "&amp;percent</f>
        <v>45 %</v>
      </c>
      <c r="AA10" s="212" t="str">
        <f>IF(calc_lev&gt;='C3-SWT'!H10, IF('C3-SWT'!L10&gt;98, 98, 'C3-SWT'!L10), 0)&amp;" "&amp;percent</f>
        <v>0 %</v>
      </c>
      <c r="AB10" s="136"/>
    </row>
    <row r="11" spans="1:41" x14ac:dyDescent="0.25">
      <c r="A11" s="238"/>
      <c r="B11" s="201" t="str">
        <f>class_3</f>
        <v>Blacksmith</v>
      </c>
      <c r="C11" s="227" t="s">
        <v>175</v>
      </c>
      <c r="D11" s="242"/>
      <c r="E11" s="242"/>
      <c r="F11" s="201" t="str">
        <f>class_3</f>
        <v>Blacksmith</v>
      </c>
      <c r="G11" s="227" t="s">
        <v>223</v>
      </c>
      <c r="H11" s="197" t="str">
        <f>_xlfn.IFNA(VLOOKUP(wp1_occ3, weapon_ref, 2, FALSE), "")</f>
        <v>Blunt</v>
      </c>
      <c r="I11" s="247"/>
      <c r="K11" s="459" t="str">
        <f>IF(calc_lev&gt;='C1-SWT'!H11, 'C1-SWT'!A11, 0)</f>
        <v>Language: Sign</v>
      </c>
      <c r="L11" s="458"/>
      <c r="M11" s="458"/>
      <c r="N11" s="458"/>
      <c r="O11" s="458"/>
      <c r="P11" s="458" t="str">
        <f>IF(calc_lev&gt;='C2-SWT'!H11, 'C2-SWT'!A11, 0)</f>
        <v>Mathematics: Basic</v>
      </c>
      <c r="Q11" s="458"/>
      <c r="R11" s="458"/>
      <c r="S11" s="458"/>
      <c r="T11" s="458"/>
      <c r="U11" s="458" t="str">
        <f>IF(calc_lev&gt;='C3-SWT'!H11, 'C3-SWT'!A11, 0)</f>
        <v>Body Building &amp; Weight Lifting</v>
      </c>
      <c r="V11" s="458"/>
      <c r="W11" s="458"/>
      <c r="X11" s="458"/>
      <c r="Y11" s="211" t="str">
        <f>IF(calc_lev&gt;='C1-SWT'!H11, IF('C1-SWT'!L11&gt;98, 98, 'C1-SWT'!L11), 0)&amp;" "&amp;percent</f>
        <v>35 %</v>
      </c>
      <c r="Z11" s="211" t="str">
        <f>IF(calc_lev&gt;='C2-SWT'!H11, IF('C2-SWT'!L11&gt;98, 98, 'C2-SWT'!L11), 0)&amp;" "&amp;percent</f>
        <v>70 %</v>
      </c>
      <c r="AA11" s="212" t="str">
        <f>IF(calc_lev&gt;='C3-SWT'!H11, IF('C3-SWT'!L11&gt;98, 98, 'C3-SWT'!L11), 0)&amp;" "&amp;percent</f>
        <v>0 %</v>
      </c>
      <c r="AB11" s="136"/>
      <c r="AC11" s="1"/>
      <c r="AD11" s="1"/>
    </row>
    <row r="12" spans="1:41" x14ac:dyDescent="0.25">
      <c r="A12" s="238"/>
      <c r="B12" s="242"/>
      <c r="C12" s="242"/>
      <c r="D12" s="242"/>
      <c r="E12" s="242"/>
      <c r="F12" s="242"/>
      <c r="G12" s="242"/>
      <c r="H12" s="242"/>
      <c r="I12" s="247"/>
      <c r="K12" s="459" t="str">
        <f>IF(calc_lev&gt;='C1-SWT'!H12, 'C1-SWT'!A12, 0)</f>
        <v>Language: (one of choice)</v>
      </c>
      <c r="L12" s="458"/>
      <c r="M12" s="458"/>
      <c r="N12" s="458"/>
      <c r="O12" s="458"/>
      <c r="P12" s="458" t="str">
        <f>IF(calc_lev&gt;='C2-SWT'!H12, 'C2-SWT'!A12, 0)</f>
        <v>Climb/Scale Walls</v>
      </c>
      <c r="Q12" s="458"/>
      <c r="R12" s="458"/>
      <c r="S12" s="458"/>
      <c r="T12" s="458"/>
      <c r="U12" s="458" t="str">
        <f>IF(calc_lev&gt;='C3-SWT'!H12, 'C3-SWT'!A12, 0)</f>
        <v>Recognize Weapon Quality</v>
      </c>
      <c r="V12" s="458"/>
      <c r="W12" s="458"/>
      <c r="X12" s="458"/>
      <c r="Y12" s="211" t="str">
        <f>IF(calc_lev&gt;='C1-SWT'!H12, IF('C1-SWT'!L12&gt;98, 98, 'C1-SWT'!L12), 0)&amp;" "&amp;percent</f>
        <v>50 %</v>
      </c>
      <c r="Z12" s="211" t="str">
        <f>IF(calc_lev&gt;='C2-SWT'!H12, IF('C2-SWT'!L12&gt;98, 98, 'C2-SWT'!L12), 0)&amp;" "&amp;percent</f>
        <v>50 %</v>
      </c>
      <c r="AA12" s="212" t="str">
        <f>IF(calc_lev&gt;='C3-SWT'!H12, IF('C3-SWT'!L12&gt;98, 98, 'C3-SWT'!L12), 0)&amp;" "&amp;percent</f>
        <v>50 %</v>
      </c>
      <c r="AB12" s="136"/>
      <c r="AC12" s="152"/>
      <c r="AD12" s="152"/>
    </row>
    <row r="13" spans="1:41" x14ac:dyDescent="0.25">
      <c r="A13" s="238"/>
      <c r="B13" s="456" t="s">
        <v>135</v>
      </c>
      <c r="C13" s="456"/>
      <c r="D13" s="242"/>
      <c r="E13" s="242"/>
      <c r="F13" s="235" t="s">
        <v>185</v>
      </c>
      <c r="G13" s="236" t="s">
        <v>111</v>
      </c>
      <c r="H13" s="236" t="s">
        <v>189</v>
      </c>
      <c r="I13" s="247"/>
      <c r="K13" s="459" t="str">
        <f>IF(calc_lev&gt;='C1-SWT'!H13, 'C1-SWT'!A13, 0)</f>
        <v>Military Etiquette</v>
      </c>
      <c r="L13" s="458"/>
      <c r="M13" s="458"/>
      <c r="N13" s="458"/>
      <c r="O13" s="458"/>
      <c r="P13" s="458" t="str">
        <f>IF(calc_lev&gt;='C2-SWT'!H13, 'C2-SWT'!A13, 0)</f>
        <v>Lore: Demons &amp; Monsters</v>
      </c>
      <c r="Q13" s="458"/>
      <c r="R13" s="458"/>
      <c r="S13" s="458"/>
      <c r="T13" s="458"/>
      <c r="U13" s="458" t="str">
        <f>IF(calc_lev&gt;='C3-SWT'!H13, 'C3-SWT'!A13, 0)</f>
        <v>Field Armorer</v>
      </c>
      <c r="V13" s="458"/>
      <c r="W13" s="458"/>
      <c r="X13" s="458"/>
      <c r="Y13" s="211" t="str">
        <f>IF(calc_lev&gt;='C1-SWT'!H13, IF('C1-SWT'!L13&gt;98, 98, 'C1-SWT'!L13), 0)&amp;" "&amp;percent</f>
        <v>60 %</v>
      </c>
      <c r="Z13" s="211" t="str">
        <f>IF(calc_lev&gt;='C2-SWT'!H13, IF('C2-SWT'!L13&gt;98, 98, 'C2-SWT'!L13), 0)&amp;" "&amp;percent</f>
        <v>40 %</v>
      </c>
      <c r="AA13" s="212" t="str">
        <f>IF(calc_lev&gt;='C3-SWT'!H13, IF('C3-SWT'!L13&gt;98, 98, 'C3-SWT'!L13), 0)&amp;" "&amp;percent</f>
        <v>50 %</v>
      </c>
      <c r="AB13" s="136"/>
      <c r="AC13" s="152"/>
      <c r="AD13" s="152"/>
    </row>
    <row r="14" spans="1:41" s="1" customFormat="1" x14ac:dyDescent="0.25">
      <c r="A14" s="238"/>
      <c r="B14" s="199" t="str">
        <f>class_1</f>
        <v>Soldier</v>
      </c>
      <c r="C14" s="227" t="s">
        <v>137</v>
      </c>
      <c r="D14" s="242"/>
      <c r="E14" s="242"/>
      <c r="F14" s="199" t="str">
        <f>class_1</f>
        <v>Soldier</v>
      </c>
      <c r="G14" s="227" t="s">
        <v>232</v>
      </c>
      <c r="H14" s="197" t="str">
        <f>_xlfn.IFNA(VLOOKUP(wp2_occ1, weapon_ref, 2, FALSE), "")</f>
        <v>Shield</v>
      </c>
      <c r="I14" s="247"/>
      <c r="K14" s="459" t="str">
        <f>IF(calc_lev&gt;='C1-SWT'!H14, 'C1-SWT'!A14, 0)</f>
        <v>W.P. Shield</v>
      </c>
      <c r="L14" s="458"/>
      <c r="M14" s="458"/>
      <c r="N14" s="458"/>
      <c r="O14" s="458"/>
      <c r="P14" s="458" t="str">
        <f>IF(calc_lev&gt;='C2-SWT'!H14, 'C2-SWT'!A14, 0)</f>
        <v>Lore: Religion</v>
      </c>
      <c r="Q14" s="458"/>
      <c r="R14" s="458"/>
      <c r="S14" s="458"/>
      <c r="T14" s="458"/>
      <c r="U14" s="458" t="str">
        <f>IF(calc_lev&gt;='C3-SWT'!H14, 'C3-SWT'!A14, 0)</f>
        <v>Pick Locks</v>
      </c>
      <c r="V14" s="458"/>
      <c r="W14" s="458"/>
      <c r="X14" s="458"/>
      <c r="Y14" s="211" t="str">
        <f>IF(calc_lev&gt;='C1-SWT'!H14, IF('C1-SWT'!L14&gt;98, 98, 'C1-SWT'!L14), 0)&amp;" "&amp;percent</f>
        <v>0 %</v>
      </c>
      <c r="Z14" s="211" t="str">
        <f>IF(calc_lev&gt;='C2-SWT'!H14, IF('C2-SWT'!L14&gt;98, 98, 'C2-SWT'!L14), 0)&amp;" "&amp;percent</f>
        <v>50 %</v>
      </c>
      <c r="AA14" s="212" t="str">
        <f>IF(calc_lev&gt;='C3-SWT'!H14, IF('C3-SWT'!L14&gt;98, 98, 'C3-SWT'!L14), 0)&amp;" "&amp;percent</f>
        <v>35 %</v>
      </c>
      <c r="AB14" s="136"/>
      <c r="AC14" s="152"/>
      <c r="AD14" s="152"/>
    </row>
    <row r="15" spans="1:41" s="1" customFormat="1" x14ac:dyDescent="0.25">
      <c r="A15" s="238"/>
      <c r="B15" s="200" t="str">
        <f>class_2</f>
        <v>Warrior Monk</v>
      </c>
      <c r="C15" s="227" t="s">
        <v>137</v>
      </c>
      <c r="D15" s="242"/>
      <c r="E15" s="242"/>
      <c r="F15" s="200" t="str">
        <f>class_2</f>
        <v>Warrior Monk</v>
      </c>
      <c r="G15" s="227" t="s">
        <v>234</v>
      </c>
      <c r="H15" s="197" t="str">
        <f>_xlfn.IFNA(VLOOKUP(wp2_occ2, weapon_ref, 2, FALSE), "")</f>
        <v>Spear</v>
      </c>
      <c r="I15" s="247"/>
      <c r="K15" s="459" t="str">
        <f>IF(calc_lev&gt;='C1-SWT'!H15, 'C1-SWT'!A15, 0)</f>
        <v>W.P. Spear</v>
      </c>
      <c r="L15" s="458"/>
      <c r="M15" s="458"/>
      <c r="N15" s="458"/>
      <c r="O15" s="458"/>
      <c r="P15" s="458" t="str">
        <f>IF(calc_lev&gt;='C2-SWT'!H15, 'C2-SWT'!A15, 0)</f>
        <v>Land Navigation</v>
      </c>
      <c r="Q15" s="458"/>
      <c r="R15" s="458"/>
      <c r="S15" s="458"/>
      <c r="T15" s="458"/>
      <c r="U15" s="458" t="str">
        <f>IF(calc_lev&gt;='C3-SWT'!H15, 'C3-SWT'!A15, 0)</f>
        <v>Metalworking</v>
      </c>
      <c r="V15" s="458"/>
      <c r="W15" s="458"/>
      <c r="X15" s="458"/>
      <c r="Y15" s="211" t="str">
        <f>IF(calc_lev&gt;='C1-SWT'!H15, IF('C1-SWT'!L15&gt;98, 98, 'C1-SWT'!L15), 0)&amp;" "&amp;percent</f>
        <v>0 %</v>
      </c>
      <c r="Z15" s="211" t="str">
        <f>IF(calc_lev&gt;='C2-SWT'!H15, IF('C2-SWT'!L15&gt;98, 98, 'C2-SWT'!L15), 0)&amp;" "&amp;percent</f>
        <v>50 %</v>
      </c>
      <c r="AA15" s="212" t="str">
        <f>IF(calc_lev&gt;='C3-SWT'!H15, IF('C3-SWT'!L15&gt;98, 98, 'C3-SWT'!L15), 0)&amp;" "&amp;percent</f>
        <v>50 %</v>
      </c>
      <c r="AB15" s="136"/>
      <c r="AC15" s="152"/>
      <c r="AD15" s="152"/>
    </row>
    <row r="16" spans="1:41" s="1" customFormat="1" x14ac:dyDescent="0.25">
      <c r="A16" s="238"/>
      <c r="B16" s="244" t="str">
        <f>class_3</f>
        <v>Blacksmith</v>
      </c>
      <c r="C16" s="245" t="s">
        <v>137</v>
      </c>
      <c r="D16" s="242"/>
      <c r="E16" s="242"/>
      <c r="F16" s="244" t="str">
        <f>class_3</f>
        <v>Blacksmith</v>
      </c>
      <c r="G16" s="245" t="s">
        <v>225</v>
      </c>
      <c r="H16" s="246" t="str">
        <f>_xlfn.IFNA(VLOOKUP(wp2_occ3, weapon_ref, 2, FALSE), "")</f>
        <v>Chain</v>
      </c>
      <c r="I16" s="247"/>
      <c r="K16" s="459" t="str">
        <f>IF(calc_lev&gt;='C1-SWT'!H16, 'C1-SWT'!A16, 0)</f>
        <v>W.P. Blunt</v>
      </c>
      <c r="L16" s="458"/>
      <c r="M16" s="458"/>
      <c r="N16" s="458"/>
      <c r="O16" s="458"/>
      <c r="P16" s="458" t="str">
        <f>IF(calc_lev&gt;='C2-SWT'!H16, 'C2-SWT'!A16, 0)</f>
        <v>Play Instrument: Redbay Flute</v>
      </c>
      <c r="Q16" s="458"/>
      <c r="R16" s="458"/>
      <c r="S16" s="458"/>
      <c r="T16" s="458"/>
      <c r="U16" s="458" t="str">
        <f>IF(calc_lev&gt;='C3-SWT'!H16, 'C3-SWT'!A16, 0)</f>
        <v>W.P. Blunt</v>
      </c>
      <c r="V16" s="458"/>
      <c r="W16" s="458"/>
      <c r="X16" s="458"/>
      <c r="Y16" s="211" t="str">
        <f>IF(calc_lev&gt;='C1-SWT'!H16, IF('C1-SWT'!L16&gt;98, 98, 'C1-SWT'!L16), 0)&amp;" "&amp;percent</f>
        <v>0 %</v>
      </c>
      <c r="Z16" s="211" t="str">
        <f>IF(calc_lev&gt;='C2-SWT'!H16, IF('C2-SWT'!L16&gt;98, 98, 'C2-SWT'!L16), 0)&amp;" "&amp;percent</f>
        <v>45 %</v>
      </c>
      <c r="AA16" s="212" t="str">
        <f>IF(calc_lev&gt;='C3-SWT'!H16, IF('C3-SWT'!L16&gt;98, 98, 'C3-SWT'!L16), 0)&amp;" "&amp;percent</f>
        <v>0 %</v>
      </c>
      <c r="AB16" s="136"/>
      <c r="AC16" s="152"/>
      <c r="AD16" s="152"/>
    </row>
    <row r="17" spans="1:30" s="1" customFormat="1" ht="15.75" thickBot="1" x14ac:dyDescent="0.3">
      <c r="A17" s="239"/>
      <c r="B17" s="243"/>
      <c r="C17" s="243"/>
      <c r="D17" s="243"/>
      <c r="E17" s="243"/>
      <c r="F17" s="243"/>
      <c r="G17" s="243"/>
      <c r="H17" s="243"/>
      <c r="I17" s="248"/>
      <c r="K17" s="459" t="str">
        <f>IF(calc_lev&gt;='C1-SWT'!H17, 'C1-SWT'!A17, 0)</f>
        <v>Detect Ambush</v>
      </c>
      <c r="L17" s="458"/>
      <c r="M17" s="458"/>
      <c r="N17" s="458"/>
      <c r="O17" s="458"/>
      <c r="P17" s="458" t="str">
        <f>IF(calc_lev&gt;='C2-SWT'!H17, 'C2-SWT'!A17, 0)</f>
        <v>Swimming</v>
      </c>
      <c r="Q17" s="458"/>
      <c r="R17" s="458"/>
      <c r="S17" s="458"/>
      <c r="T17" s="458"/>
      <c r="U17" s="458" t="str">
        <f>IF(calc_lev&gt;='C3-SWT'!H17, 'C3-SWT'!A17, 0)</f>
        <v>Literacy: Elven</v>
      </c>
      <c r="V17" s="458"/>
      <c r="W17" s="458"/>
      <c r="X17" s="458"/>
      <c r="Y17" s="211" t="str">
        <f>IF(calc_lev&gt;='C1-SWT'!H17, IF('C1-SWT'!L17&gt;98, 98, 'C1-SWT'!L17), 0)&amp;" "&amp;percent</f>
        <v>35 %</v>
      </c>
      <c r="Z17" s="211" t="str">
        <f>IF(calc_lev&gt;='C2-SWT'!H17, IF('C2-SWT'!L17&gt;98, 98, 'C2-SWT'!L17), 0)&amp;" "&amp;percent</f>
        <v>50 %</v>
      </c>
      <c r="AA17" s="212" t="str">
        <f>IF(calc_lev&gt;='C3-SWT'!H17, IF('C3-SWT'!L17&gt;98, 98, 'C3-SWT'!L17), 0)&amp;" "&amp;percent</f>
        <v>40 %</v>
      </c>
      <c r="AB17" s="136"/>
      <c r="AC17" s="152"/>
      <c r="AD17" s="152"/>
    </row>
    <row r="18" spans="1:30" x14ac:dyDescent="0.25">
      <c r="A18" s="1"/>
      <c r="B18" s="1"/>
      <c r="C18" s="1"/>
      <c r="D18" s="1"/>
      <c r="E18" s="1"/>
      <c r="F18" s="1"/>
      <c r="G18" s="1"/>
      <c r="H18" s="1"/>
      <c r="I18" s="1"/>
      <c r="K18" s="459" t="str">
        <f>IF(calc_lev&gt;='C1-SWT'!H18, 'C1-SWT'!A18, 0)</f>
        <v>Detect Concealment &amp; Traps</v>
      </c>
      <c r="L18" s="458"/>
      <c r="M18" s="458"/>
      <c r="N18" s="458"/>
      <c r="O18" s="458"/>
      <c r="P18" s="458" t="str">
        <f>IF(calc_lev&gt;='C2-SWT'!H18, 'C2-SWT'!A18, 0)</f>
        <v>Wilderness Survival</v>
      </c>
      <c r="Q18" s="458"/>
      <c r="R18" s="458"/>
      <c r="S18" s="458"/>
      <c r="T18" s="458"/>
      <c r="U18" s="458" t="str">
        <f>IF(calc_lev&gt;='C3-SWT'!H18, 'C3-SWT'!A18, 0)</f>
        <v>Leather Working</v>
      </c>
      <c r="V18" s="458"/>
      <c r="W18" s="458"/>
      <c r="X18" s="458"/>
      <c r="Y18" s="211" t="str">
        <f>IF(calc_lev&gt;='C1-SWT'!H18, IF('C1-SWT'!L18&gt;98, 98, 'C1-SWT'!L18), 0)&amp;" "&amp;percent</f>
        <v>35 %</v>
      </c>
      <c r="Z18" s="211" t="str">
        <f>IF(calc_lev&gt;='C2-SWT'!H18, IF('C2-SWT'!L18&gt;98, 98, 'C2-SWT'!L18), 0)&amp;" "&amp;percent</f>
        <v>45 %</v>
      </c>
      <c r="AA18" s="212" t="str">
        <f>IF(calc_lev&gt;='C3-SWT'!H18, IF('C3-SWT'!L18&gt;98, 98, 'C3-SWT'!L18), 0)&amp;" "&amp;percent</f>
        <v>40 %</v>
      </c>
      <c r="AB18" s="136"/>
      <c r="AC18" s="152"/>
      <c r="AD18" s="152"/>
    </row>
    <row r="19" spans="1:30" x14ac:dyDescent="0.25">
      <c r="A19" s="466" t="s">
        <v>161</v>
      </c>
      <c r="B19" s="466"/>
      <c r="C19" s="466"/>
      <c r="D19" s="466"/>
      <c r="E19" s="466" t="s">
        <v>174</v>
      </c>
      <c r="F19" s="466"/>
      <c r="G19" s="466"/>
      <c r="H19" s="466"/>
      <c r="I19" s="466"/>
      <c r="K19" s="459" t="str">
        <f>IF(calc_lev&gt;='C1-SWT'!H19, 'C1-SWT'!A19, 0)</f>
        <v>Camouflage</v>
      </c>
      <c r="L19" s="458"/>
      <c r="M19" s="458"/>
      <c r="N19" s="458"/>
      <c r="O19" s="458"/>
      <c r="P19" s="458" t="str">
        <f>IF(calc_lev&gt;='C2-SWT'!H19, 'C2-SWT'!A19, 0)</f>
        <v>W.P. Staff</v>
      </c>
      <c r="Q19" s="458"/>
      <c r="R19" s="458"/>
      <c r="S19" s="458"/>
      <c r="T19" s="458"/>
      <c r="U19" s="458" t="str">
        <f>IF(calc_lev&gt;='C3-SWT'!H19, 'C3-SWT'!A19, 0)</f>
        <v>Armor/Weapon Decoration</v>
      </c>
      <c r="V19" s="458"/>
      <c r="W19" s="458"/>
      <c r="X19" s="458"/>
      <c r="Y19" s="211" t="str">
        <f>IF(calc_lev&gt;='C1-SWT'!H19, IF('C1-SWT'!L19&gt;98, 98, 'C1-SWT'!L19), 0)&amp;" "&amp;percent</f>
        <v>35 %</v>
      </c>
      <c r="Z19" s="211" t="str">
        <f>IF(calc_lev&gt;='C2-SWT'!H19, IF('C2-SWT'!L19&gt;98, 98, 'C2-SWT'!L19), 0)&amp;" "&amp;percent</f>
        <v>0 %</v>
      </c>
      <c r="AA19" s="212" t="str">
        <f>IF(calc_lev&gt;='C3-SWT'!H19, IF('C3-SWT'!L19&gt;98, 98, 'C3-SWT'!L19), 0)&amp;" "&amp;percent</f>
        <v>45 %</v>
      </c>
      <c r="AB19" s="136"/>
      <c r="AC19" s="152"/>
      <c r="AD19" s="152"/>
    </row>
    <row r="20" spans="1:30" x14ac:dyDescent="0.25">
      <c r="A20" s="196" t="s">
        <v>157</v>
      </c>
      <c r="B20" s="458" t="str">
        <f>K48</f>
        <v>No Special Abilities</v>
      </c>
      <c r="C20" s="458"/>
      <c r="D20" s="458"/>
      <c r="E20" s="197" t="str">
        <f>K49</f>
        <v>Nightvision 90 ft (27.4 m).</v>
      </c>
      <c r="F20" s="198">
        <f>K50</f>
        <v>0</v>
      </c>
      <c r="G20" s="197">
        <f>K51</f>
        <v>0</v>
      </c>
      <c r="H20" s="198">
        <f>K52</f>
        <v>0</v>
      </c>
      <c r="I20" s="197">
        <f>K53</f>
        <v>0</v>
      </c>
      <c r="K20" s="459" t="str">
        <f>IF(calc_lev&gt;='C1-SWT'!H20, 'C1-SWT'!A20, 0)</f>
        <v>Heraldry</v>
      </c>
      <c r="L20" s="458"/>
      <c r="M20" s="458"/>
      <c r="N20" s="458"/>
      <c r="O20" s="458"/>
      <c r="P20" s="458" t="str">
        <f>IF(calc_lev&gt;='C2-SWT'!H20, 'C2-SWT'!A20, 0)</f>
        <v>W.P. Spear</v>
      </c>
      <c r="Q20" s="458"/>
      <c r="R20" s="458"/>
      <c r="S20" s="458"/>
      <c r="T20" s="458"/>
      <c r="U20" s="458" t="str">
        <f>IF(calc_lev&gt;='C3-SWT'!H20, 'C3-SWT'!A20, 0)</f>
        <v>Fashion Tools</v>
      </c>
      <c r="V20" s="458"/>
      <c r="W20" s="458"/>
      <c r="X20" s="458"/>
      <c r="Y20" s="211" t="str">
        <f>IF(calc_lev&gt;='C1-SWT'!H20, IF('C1-SWT'!L20&gt;98, 98, 'C1-SWT'!L20), 0)&amp;" "&amp;percent</f>
        <v>30 %</v>
      </c>
      <c r="Z20" s="211" t="str">
        <f>IF(calc_lev&gt;='C2-SWT'!H20, IF('C2-SWT'!L20&gt;98, 98, 'C2-SWT'!L20), 0)&amp;" "&amp;percent</f>
        <v>0 %</v>
      </c>
      <c r="AA20" s="212" t="str">
        <f>IF(calc_lev&gt;='C3-SWT'!H20, IF('C3-SWT'!L20&gt;98, 98, 'C3-SWT'!L20), 0)&amp;" "&amp;percent</f>
        <v>35 %</v>
      </c>
      <c r="AB20" s="136"/>
      <c r="AC20" s="152"/>
      <c r="AD20" s="152"/>
    </row>
    <row r="21" spans="1:30" x14ac:dyDescent="0.25">
      <c r="A21" s="196" t="s">
        <v>158</v>
      </c>
      <c r="B21" s="458" t="str">
        <f>K55</f>
        <v>Minor Psionic (Healing)</v>
      </c>
      <c r="C21" s="458"/>
      <c r="D21" s="458"/>
      <c r="E21" s="197" t="str">
        <f>K56&amp;" "&amp;M56&amp;" "&amp;L56</f>
        <v>I.S.P.  20</v>
      </c>
      <c r="F21" s="198" t="str">
        <f>K57</f>
        <v>Psychic Diagnosis (4): Requires 2D4 melee rounds of meditation.</v>
      </c>
      <c r="G21" s="198" t="str">
        <f>K58</f>
        <v>Psychic Surgery (14): Requires 2D6 minutes of meditation, plus surgery time. 01-66% recovery from coma/death.</v>
      </c>
      <c r="H21" s="197" t="str">
        <f>K59</f>
        <v>Note: Psychic Diagnosis must be performed before a Psychic Surgery.</v>
      </c>
      <c r="I21" s="198" t="str">
        <f>K60</f>
        <v>Nightvision 90ft (27.4 m).</v>
      </c>
      <c r="K21" s="459" t="str">
        <f>IF(calc_lev&gt;='C1-SWT'!H21, 'C1-SWT'!A21, 0)</f>
        <v>Interrogation Techniques</v>
      </c>
      <c r="L21" s="458"/>
      <c r="M21" s="458"/>
      <c r="N21" s="458"/>
      <c r="O21" s="458"/>
      <c r="P21" s="458" t="str">
        <f>IF(calc_lev&gt;='C2-SWT'!H21, 'C2-SWT'!A21, 0)</f>
        <v>Cook</v>
      </c>
      <c r="Q21" s="458"/>
      <c r="R21" s="458"/>
      <c r="S21" s="458"/>
      <c r="T21" s="458"/>
      <c r="U21" s="458" t="str">
        <f>IF(calc_lev&gt;='C3-SWT'!H21, 'C3-SWT'!A21, 0)</f>
        <v>Public Speaking</v>
      </c>
      <c r="V21" s="458"/>
      <c r="W21" s="458"/>
      <c r="X21" s="458"/>
      <c r="Y21" s="211" t="str">
        <f>IF(calc_lev&gt;='C1-SWT'!H21, IF('C1-SWT'!L21&gt;98, 98, 'C1-SWT'!L21), 0)&amp;" "&amp;percent</f>
        <v>35 %</v>
      </c>
      <c r="Z21" s="211" t="str">
        <f>IF(calc_lev&gt;='C2-SWT'!H21, IF('C2-SWT'!L21&gt;98, 98, 'C2-SWT'!L21), 0)&amp;" "&amp;percent</f>
        <v>45 %</v>
      </c>
      <c r="AA21" s="212" t="str">
        <f>IF(calc_lev&gt;='C3-SWT'!H21, IF('C3-SWT'!L21&gt;98, 98, 'C3-SWT'!L21), 0)&amp;" "&amp;percent</f>
        <v>30 %</v>
      </c>
      <c r="AB21" s="136"/>
      <c r="AC21" s="152"/>
      <c r="AD21" s="152"/>
    </row>
    <row r="22" spans="1:30" s="1" customFormat="1" x14ac:dyDescent="0.25">
      <c r="A22" s="196" t="s">
        <v>159</v>
      </c>
      <c r="B22" s="458" t="str">
        <f>K62</f>
        <v>Minor Psionic (Physical)</v>
      </c>
      <c r="C22" s="458"/>
      <c r="D22" s="458"/>
      <c r="E22" s="197" t="str">
        <f>K63&amp;" "&amp;M63&amp;" "&amp;L63</f>
        <v>I.S.P.  20</v>
      </c>
      <c r="F22" s="198" t="str">
        <f>K64</f>
        <v>Impervious to Fire (4): No damage from heat, fire, boiling water, hot coals, etc. Half damage from magic fire.</v>
      </c>
      <c r="G22" s="198" t="str">
        <f>K65</f>
        <v>Mind Block (4): Impervious to Telepathy, Empathy, Hypnotic Suggestion, Empathic Transfer, &amp; Induce Nightmares.</v>
      </c>
      <c r="H22" s="197" t="str">
        <f>K66</f>
        <v>-- Mind Block provides a +1 to save vs. all other psionic and mental attacks not listed above.</v>
      </c>
      <c r="I22" s="198" t="str">
        <f>K67</f>
        <v>Nightvision 90ft (27.4 m).</v>
      </c>
      <c r="K22" s="459" t="str">
        <f>IF(calc_lev&gt;='C1-SWT'!H22, 'C1-SWT'!A22, 0)</f>
        <v>Surveillance</v>
      </c>
      <c r="L22" s="458"/>
      <c r="M22" s="458"/>
      <c r="N22" s="458"/>
      <c r="O22" s="458"/>
      <c r="P22" s="458" t="str">
        <f>IF(calc_lev&gt;='C2-SWT'!H22, 'C2-SWT'!A22, 0)</f>
        <v>Dance</v>
      </c>
      <c r="Q22" s="458"/>
      <c r="R22" s="458"/>
      <c r="S22" s="458"/>
      <c r="T22" s="458"/>
      <c r="U22" s="458" t="str">
        <f>IF(calc_lev&gt;='C3-SWT'!H22, 'C3-SWT'!A22, 0)</f>
        <v>Carpentry</v>
      </c>
      <c r="V22" s="458"/>
      <c r="W22" s="458"/>
      <c r="X22" s="458"/>
      <c r="Y22" s="211" t="str">
        <f>IF(calc_lev&gt;='C1-SWT'!H22, IF('C1-SWT'!L22&gt;98, 98, 'C1-SWT'!L22), 0)&amp;" "&amp;percent</f>
        <v>40 %</v>
      </c>
      <c r="Z22" s="211" t="str">
        <f>IF(calc_lev&gt;='C2-SWT'!H22, IF('C2-SWT'!L22&gt;98, 98, 'C2-SWT'!L22), 0)&amp;" "&amp;percent</f>
        <v>45 %</v>
      </c>
      <c r="AA22" s="212" t="str">
        <f>IF(calc_lev&gt;='C3-SWT'!H22, IF('C3-SWT'!L22&gt;98, 98, 'C3-SWT'!L22), 0)&amp;" "&amp;percent</f>
        <v>30 %</v>
      </c>
      <c r="AB22" s="136"/>
      <c r="AC22" s="152"/>
      <c r="AD22" s="152"/>
    </row>
    <row r="23" spans="1:30" x14ac:dyDescent="0.25">
      <c r="A23" s="196" t="s">
        <v>160</v>
      </c>
      <c r="B23" s="458" t="str">
        <f>K69</f>
        <v>Minor Psionic (Sensitive)</v>
      </c>
      <c r="C23" s="458"/>
      <c r="D23" s="458"/>
      <c r="E23" s="197" t="str">
        <f>K70&amp;" "&amp;M70&amp;" "&amp;L70</f>
        <v>I.S.P.  20</v>
      </c>
      <c r="F23" s="198" t="str">
        <f>K71</f>
        <v>Object Read (6): Impressions: 56%. Images: 48%. Present (+4): 38%, requires a successful Impression or Image.</v>
      </c>
      <c r="G23" s="198" t="str">
        <f>K72</f>
        <v>Telepathy (4): Read surface thoughts only. Saving throw is conditional (must suspect).</v>
      </c>
      <c r="H23" s="197">
        <f>K73</f>
        <v>0</v>
      </c>
      <c r="I23" s="198" t="str">
        <f>K74</f>
        <v>Nightvision 90ft (27.4 m).</v>
      </c>
      <c r="K23" s="459" t="str">
        <f>IF(calc_lev&gt;='C1-SWT'!H23, 'C1-SWT'!A23, 0)</f>
        <v>Lore: Magic</v>
      </c>
      <c r="L23" s="458"/>
      <c r="M23" s="458"/>
      <c r="N23" s="458"/>
      <c r="O23" s="458"/>
      <c r="P23" s="458" t="str">
        <f>IF(calc_lev&gt;='C2-SWT'!H23, 'C2-SWT'!A23, 0)</f>
        <v>Brewing</v>
      </c>
      <c r="Q23" s="458"/>
      <c r="R23" s="458"/>
      <c r="S23" s="458"/>
      <c r="T23" s="458"/>
      <c r="U23" s="458" t="str">
        <f>IF(calc_lev&gt;='C3-SWT'!H23, 'C3-SWT'!A23, 0)</f>
        <v>W.P. Chain</v>
      </c>
      <c r="V23" s="458"/>
      <c r="W23" s="458"/>
      <c r="X23" s="458"/>
      <c r="Y23" s="211" t="str">
        <f>IF(calc_lev&gt;='C1-SWT'!H23, IF('C1-SWT'!L23&gt;98, 98, 'C1-SWT'!L23), 0)&amp;" "&amp;percent</f>
        <v>30 %</v>
      </c>
      <c r="Z23" s="211" t="str">
        <f>IF(calc_lev&gt;='C2-SWT'!H23, IF('C2-SWT'!L23&gt;98, 98, 'C2-SWT'!L23), 0)&amp;" "&amp;percent</f>
        <v>40 %</v>
      </c>
      <c r="AA23" s="212" t="str">
        <f>IF(calc_lev&gt;='C3-SWT'!H23, IF('C3-SWT'!L23&gt;98, 98, 'C3-SWT'!L23), 0)&amp;" "&amp;percent</f>
        <v>0 %</v>
      </c>
      <c r="AB23" s="136"/>
      <c r="AC23" s="152"/>
      <c r="AD23" s="152"/>
    </row>
    <row r="24" spans="1:30" x14ac:dyDescent="0.25">
      <c r="A24" s="196" t="s">
        <v>167</v>
      </c>
      <c r="B24" s="458" t="str">
        <f>K76</f>
        <v>Special Monk Training</v>
      </c>
      <c r="C24" s="458"/>
      <c r="D24" s="458"/>
      <c r="E24" s="197" t="str">
        <f>K77&amp;" "&amp;M77&amp;" "&amp;L77</f>
        <v xml:space="preserve">P.P.E.: 10  </v>
      </c>
      <c r="F24" s="198" t="str">
        <f>K78</f>
        <v>Spirit Strike (Special): Used against Supernatural Beings or Creatures of Magic. Damage: x3. Cost: 2D6 P.P.E.</v>
      </c>
      <c r="G24" s="198" t="str">
        <f>K79</f>
        <v>Stick Power Strike: Called shot (18+ w/bonuses). +1D6 damage. Victim: -1 attack, lose initiative, 50% drop weapon.</v>
      </c>
      <c r="H24" s="197" t="str">
        <f>K80</f>
        <v>Parry Arrows with Staff or Spear: -2 to parry arrows/darts/thrown. -6 to parry gunfire. Can only parry 1 opponent.</v>
      </c>
      <c r="I24" s="198" t="str">
        <f>K81</f>
        <v>Stick Fighting Bonuses: Staff: 5 Attacks, +1 to Parry. Spear: 5 Attacks, +1 to Parry.</v>
      </c>
      <c r="K24" s="459" t="str">
        <f>IF(calc_lev&gt;='C1-SWT'!H24, 'C1-SWT'!A24, 0)</f>
        <v>Recognize Weapon Quality</v>
      </c>
      <c r="L24" s="458"/>
      <c r="M24" s="458"/>
      <c r="N24" s="458"/>
      <c r="O24" s="458"/>
      <c r="P24" s="458" t="str">
        <f>IF(calc_lev&gt;='C2-SWT'!H24, 'C2-SWT'!A24, 0)</f>
        <v>Holistic Medicine</v>
      </c>
      <c r="Q24" s="458"/>
      <c r="R24" s="458"/>
      <c r="S24" s="458"/>
      <c r="T24" s="458"/>
      <c r="U24" s="458" t="str">
        <f>IF(calc_lev&gt;='C3-SWT'!H24, 'C3-SWT'!A24, 0)</f>
        <v>W.P. Knife</v>
      </c>
      <c r="V24" s="458"/>
      <c r="W24" s="458"/>
      <c r="X24" s="458"/>
      <c r="Y24" s="211" t="str">
        <f>IF(calc_lev&gt;='C1-SWT'!H24, IF('C1-SWT'!L24&gt;98, 98, 'C1-SWT'!L24), 0)&amp;" "&amp;percent</f>
        <v>40 %</v>
      </c>
      <c r="Z24" s="211" t="str">
        <f>IF(calc_lev&gt;='C2-SWT'!H24, IF('C2-SWT'!L24&gt;98, 98, 'C2-SWT'!L24), 0)&amp;" "&amp;percent</f>
        <v>35 %</v>
      </c>
      <c r="AA24" s="212" t="str">
        <f>IF(calc_lev&gt;='C3-SWT'!H24, IF('C3-SWT'!L24&gt;98, 98, 'C3-SWT'!L24), 0)&amp;" "&amp;percent</f>
        <v>0 %</v>
      </c>
      <c r="AB24" s="136"/>
      <c r="AC24" s="1"/>
      <c r="AD24" s="1"/>
    </row>
    <row r="25" spans="1:30" x14ac:dyDescent="0.25">
      <c r="A25" s="196" t="s">
        <v>168</v>
      </c>
      <c r="B25" s="458">
        <f>K83</f>
        <v>0</v>
      </c>
      <c r="C25" s="458"/>
      <c r="D25" s="458"/>
      <c r="E25" s="197" t="str">
        <f>K84&amp;" "&amp;M84&amp;" "&amp;L84</f>
        <v xml:space="preserve">  </v>
      </c>
      <c r="F25" s="198">
        <f>K85</f>
        <v>0</v>
      </c>
      <c r="G25" s="198">
        <f>K86</f>
        <v>0</v>
      </c>
      <c r="H25" s="197">
        <f>K87</f>
        <v>0</v>
      </c>
      <c r="I25" s="198">
        <f>K88</f>
        <v>0</v>
      </c>
      <c r="K25" s="459" t="str">
        <f>IF(calc_lev&gt;='C1-SWT'!H25, 'C1-SWT'!A25, 0)</f>
        <v>Masonry</v>
      </c>
      <c r="L25" s="458"/>
      <c r="M25" s="458"/>
      <c r="N25" s="458"/>
      <c r="O25" s="458"/>
      <c r="P25" s="458" t="str">
        <f>IF(calc_lev&gt;='C2-SWT'!H25, 'C2-SWT'!A25, 0)</f>
        <v>General Repair</v>
      </c>
      <c r="Q25" s="458"/>
      <c r="R25" s="458"/>
      <c r="S25" s="458"/>
      <c r="T25" s="458"/>
      <c r="U25" s="458">
        <f>IF(calc_lev&gt;='C3-SWT'!H25, 'C3-SWT'!A25, 0)</f>
        <v>0</v>
      </c>
      <c r="V25" s="458"/>
      <c r="W25" s="458"/>
      <c r="X25" s="458"/>
      <c r="Y25" s="211" t="str">
        <f>IF(calc_lev&gt;='C1-SWT'!H25, IF('C1-SWT'!L25&gt;98, 98, 'C1-SWT'!L25), 0)&amp;" "&amp;percent</f>
        <v>40 %</v>
      </c>
      <c r="Z25" s="211" t="str">
        <f>IF(calc_lev&gt;='C2-SWT'!H25, IF('C2-SWT'!L25&gt;98, 98, 'C2-SWT'!L25), 0)&amp;" "&amp;percent</f>
        <v>50 %</v>
      </c>
      <c r="AA25" s="212" t="str">
        <f>IF(calc_lev&gt;='C3-SWT'!H25, IF('C3-SWT'!L25&gt;98, 98, 'C3-SWT'!L25), 0)&amp;" "&amp;percent</f>
        <v>0 %</v>
      </c>
      <c r="AB25" s="136"/>
    </row>
    <row r="26" spans="1:30" x14ac:dyDescent="0.25">
      <c r="A26" s="196" t="s">
        <v>169</v>
      </c>
      <c r="B26" s="458">
        <f>K90</f>
        <v>0</v>
      </c>
      <c r="C26" s="458"/>
      <c r="D26" s="458"/>
      <c r="E26" s="197" t="str">
        <f>K91&amp;" "&amp;M91&amp;" "&amp;L91</f>
        <v xml:space="preserve">  </v>
      </c>
      <c r="F26" s="198">
        <f>K92</f>
        <v>0</v>
      </c>
      <c r="G26" s="198">
        <f>K93</f>
        <v>0</v>
      </c>
      <c r="H26" s="197">
        <f>K94</f>
        <v>0</v>
      </c>
      <c r="I26" s="198">
        <f>K95</f>
        <v>0</v>
      </c>
      <c r="K26" s="459" t="str">
        <f>IF(calc_lev&gt;='C1-SWT'!H26, 'C1-SWT'!A26, 0)</f>
        <v>Play Instrument: Bugle</v>
      </c>
      <c r="L26" s="458"/>
      <c r="M26" s="458"/>
      <c r="N26" s="458"/>
      <c r="O26" s="458"/>
      <c r="P26" s="458" t="str">
        <f>IF(calc_lev&gt;='C2-SWT'!H26, 'C2-SWT'!A26, 0)</f>
        <v>History</v>
      </c>
      <c r="Q26" s="458"/>
      <c r="R26" s="458"/>
      <c r="S26" s="458"/>
      <c r="T26" s="458"/>
      <c r="U26" s="458">
        <f>IF(calc_lev&gt;='C3-SWT'!H26, 'C3-SWT'!A26, 0)</f>
        <v>0</v>
      </c>
      <c r="V26" s="458"/>
      <c r="W26" s="458"/>
      <c r="X26" s="458"/>
      <c r="Y26" s="211" t="str">
        <f>IF(calc_lev&gt;='C1-SWT'!H26, IF('C1-SWT'!L26&gt;98, 98, 'C1-SWT'!L26), 0)&amp;" "&amp;percent</f>
        <v>25 %</v>
      </c>
      <c r="Z26" s="211" t="str">
        <f>IF(calc_lev&gt;='C2-SWT'!H26, IF('C2-SWT'!L26&gt;98, 98, 'C2-SWT'!L26), 0)&amp;" "&amp;percent</f>
        <v>40 %</v>
      </c>
      <c r="AA26" s="212" t="str">
        <f>IF(calc_lev&gt;='C3-SWT'!H26, IF('C3-SWT'!L26&gt;98, 98, 'C3-SWT'!L26), 0)&amp;" "&amp;percent</f>
        <v>0 %</v>
      </c>
      <c r="AB26" s="136"/>
    </row>
    <row r="27" spans="1:30" x14ac:dyDescent="0.25">
      <c r="A27" s="460" t="s">
        <v>335</v>
      </c>
      <c r="B27" s="461"/>
      <c r="C27" s="249" t="s">
        <v>326</v>
      </c>
      <c r="D27" s="462" t="s">
        <v>334</v>
      </c>
      <c r="E27" s="462"/>
      <c r="F27" s="463"/>
      <c r="G27" s="138"/>
      <c r="H27" s="138"/>
      <c r="I27" s="1"/>
      <c r="K27" s="459" t="str">
        <f>IF(calc_lev&gt;='C1-SWT'!H27, 'C1-SWT'!A27, 0)</f>
        <v>First Aid</v>
      </c>
      <c r="L27" s="458"/>
      <c r="M27" s="458"/>
      <c r="N27" s="458"/>
      <c r="O27" s="458"/>
      <c r="P27" s="458" t="str">
        <f>IF(calc_lev&gt;='C2-SWT'!H27, 'C2-SWT'!A27, 0)</f>
        <v>Botany</v>
      </c>
      <c r="Q27" s="458"/>
      <c r="R27" s="458"/>
      <c r="S27" s="458"/>
      <c r="T27" s="458"/>
      <c r="U27" s="458">
        <f>IF(calc_lev&gt;='C3-SWT'!H27, 'C3-SWT'!A27, 0)</f>
        <v>0</v>
      </c>
      <c r="V27" s="458"/>
      <c r="W27" s="458"/>
      <c r="X27" s="458"/>
      <c r="Y27" s="211" t="str">
        <f>IF(calc_lev&gt;='C1-SWT'!H27, IF('C1-SWT'!L27&gt;98, 98, 'C1-SWT'!L27), 0)&amp;" "&amp;percent</f>
        <v>30 %</v>
      </c>
      <c r="Z27" s="211" t="str">
        <f>IF(calc_lev&gt;='C2-SWT'!H27, IF('C2-SWT'!L27&gt;98, 98, 'C2-SWT'!L27), 0)&amp;" "&amp;percent</f>
        <v>25 %</v>
      </c>
      <c r="AA27" s="212" t="str">
        <f>IF(calc_lev&gt;='C3-SWT'!H27, IF('C3-SWT'!L27&gt;98, 98, 'C3-SWT'!L27), 0)&amp;" "&amp;percent</f>
        <v>0 %</v>
      </c>
      <c r="AB27" s="136"/>
    </row>
    <row r="28" spans="1:30" x14ac:dyDescent="0.25">
      <c r="K28" s="459" t="str">
        <f>IF(calc_lev&gt;='C1-SWT'!H28, 'C1-SWT'!A28, 0)</f>
        <v>Prowl</v>
      </c>
      <c r="L28" s="458"/>
      <c r="M28" s="458"/>
      <c r="N28" s="458"/>
      <c r="O28" s="458"/>
      <c r="P28" s="458" t="str">
        <f>IF(calc_lev&gt;='C2-SWT'!H28, 'C2-SWT'!A28, 0)</f>
        <v>Juggling</v>
      </c>
      <c r="Q28" s="458"/>
      <c r="R28" s="458"/>
      <c r="S28" s="458"/>
      <c r="T28" s="458"/>
      <c r="U28" s="458">
        <f>IF(calc_lev&gt;='C3-SWT'!H28, 'C3-SWT'!A28, 0)</f>
        <v>0</v>
      </c>
      <c r="V28" s="458"/>
      <c r="W28" s="458"/>
      <c r="X28" s="458"/>
      <c r="Y28" s="211" t="str">
        <f>IF(calc_lev&gt;='C1-SWT'!H28, IF('C1-SWT'!L28&gt;98, 98, 'C1-SWT'!L28), 0)&amp;" "&amp;percent</f>
        <v>25 %</v>
      </c>
      <c r="Z28" s="211" t="str">
        <f>IF(calc_lev&gt;='C2-SWT'!H28, IF('C2-SWT'!L28&gt;98, 98, 'C2-SWT'!L28), 0)&amp;" "&amp;percent</f>
        <v>35 %</v>
      </c>
      <c r="AA28" s="212" t="str">
        <f>IF(calc_lev&gt;='C3-SWT'!H28, IF('C3-SWT'!L28&gt;98, 98, 'C3-SWT'!L28), 0)&amp;" "&amp;percent</f>
        <v>0 %</v>
      </c>
      <c r="AB28" s="136"/>
    </row>
    <row r="29" spans="1:30" x14ac:dyDescent="0.25">
      <c r="C29" s="466" t="s">
        <v>0</v>
      </c>
      <c r="D29" s="466"/>
      <c r="E29" s="466"/>
      <c r="F29" s="466"/>
      <c r="H29" s="138"/>
      <c r="I29" s="206" t="s">
        <v>12</v>
      </c>
      <c r="K29" s="459" t="str">
        <f>IF(calc_lev&gt;='C1-SWT'!H29, 'C1-SWT'!A29, 0)</f>
        <v>Wilderness Survival</v>
      </c>
      <c r="L29" s="458"/>
      <c r="M29" s="458"/>
      <c r="N29" s="458"/>
      <c r="O29" s="458"/>
      <c r="P29" s="458" t="str">
        <f>IF(calc_lev&gt;='C2-SWT'!H29, 'C2-SWT'!A29, 0)</f>
        <v>Rope Works</v>
      </c>
      <c r="Q29" s="458"/>
      <c r="R29" s="458"/>
      <c r="S29" s="458"/>
      <c r="T29" s="458"/>
      <c r="U29" s="458">
        <f>IF(calc_lev&gt;='C3-SWT'!H29, 'C3-SWT'!A29, 0)</f>
        <v>0</v>
      </c>
      <c r="V29" s="458"/>
      <c r="W29" s="458"/>
      <c r="X29" s="458"/>
      <c r="Y29" s="211" t="str">
        <f>IF(calc_lev&gt;='C1-SWT'!H29, IF('C1-SWT'!L29&gt;98, 98, 'C1-SWT'!L29), 0)&amp;" "&amp;percent</f>
        <v>30 %</v>
      </c>
      <c r="Z29" s="211" t="str">
        <f>IF(calc_lev&gt;='C2-SWT'!H29, IF('C2-SWT'!L29&gt;98, 98, 'C2-SWT'!L29), 0)&amp;" "&amp;percent</f>
        <v>35 %</v>
      </c>
      <c r="AA29" s="212" t="str">
        <f>IF(calc_lev&gt;='C3-SWT'!H29, IF('C3-SWT'!L29&gt;98, 98, 'C3-SWT'!L29), 0)&amp;" "&amp;percent</f>
        <v>0 %</v>
      </c>
      <c r="AB29" s="136"/>
    </row>
    <row r="30" spans="1:30" x14ac:dyDescent="0.25">
      <c r="C30" s="216" t="s">
        <v>156</v>
      </c>
      <c r="D30" s="199" t="str">
        <f>class_1</f>
        <v>Soldier</v>
      </c>
      <c r="E30" s="200" t="str">
        <f>class_2</f>
        <v>Warrior Monk</v>
      </c>
      <c r="F30" s="201" t="str">
        <f>class_3</f>
        <v>Blacksmith</v>
      </c>
      <c r="H30" s="138"/>
      <c r="I30" s="207">
        <v>1</v>
      </c>
      <c r="K30" s="459">
        <f>IF(calc_lev&gt;='C1-SWT'!H30, 'C1-SWT'!A30, 0)</f>
        <v>0</v>
      </c>
      <c r="L30" s="458"/>
      <c r="M30" s="458"/>
      <c r="N30" s="458"/>
      <c r="O30" s="458"/>
      <c r="P30" s="458" t="str">
        <f>IF(calc_lev&gt;='C2-SWT'!H30, 'C2-SWT'!A30, 0)</f>
        <v>Preserve Food</v>
      </c>
      <c r="Q30" s="458"/>
      <c r="R30" s="458"/>
      <c r="S30" s="458"/>
      <c r="T30" s="458"/>
      <c r="U30" s="458">
        <f>IF(calc_lev&gt;='C3-SWT'!H30, 'C3-SWT'!A30, 0)</f>
        <v>0</v>
      </c>
      <c r="V30" s="458"/>
      <c r="W30" s="458"/>
      <c r="X30" s="458"/>
      <c r="Y30" s="211" t="str">
        <f>IF(calc_lev&gt;='C1-SWT'!H30, IF('C1-SWT'!L30&gt;98, 98, 'C1-SWT'!L30), 0)&amp;" "&amp;percent</f>
        <v>0 %</v>
      </c>
      <c r="Z30" s="211" t="str">
        <f>IF(calc_lev&gt;='C2-SWT'!H30, IF('C2-SWT'!L30&gt;98, 98, 'C2-SWT'!L30), 0)&amp;" "&amp;percent</f>
        <v>40 %</v>
      </c>
      <c r="AA30" s="212" t="str">
        <f>IF(calc_lev&gt;='C3-SWT'!H30, IF('C3-SWT'!L30&gt;98, 98, 'C3-SWT'!L30), 0)&amp;" "&amp;percent</f>
        <v>0 %</v>
      </c>
      <c r="AB30" s="136"/>
    </row>
    <row r="31" spans="1:30" x14ac:dyDescent="0.25">
      <c r="C31" s="228" t="s">
        <v>1</v>
      </c>
      <c r="D31" s="203">
        <f>occ1_iq</f>
        <v>10</v>
      </c>
      <c r="E31" s="203">
        <f>occ2_iq</f>
        <v>10</v>
      </c>
      <c r="F31" s="203">
        <f>occ3_iq</f>
        <v>10</v>
      </c>
      <c r="H31" s="138"/>
      <c r="I31" s="207">
        <v>2</v>
      </c>
      <c r="K31" s="459">
        <f>IF(calc_lev&gt;='C1-SWT'!H31, 'C1-SWT'!A31, 0)</f>
        <v>0</v>
      </c>
      <c r="L31" s="458"/>
      <c r="M31" s="458"/>
      <c r="N31" s="458"/>
      <c r="O31" s="458"/>
      <c r="P31" s="458">
        <f>IF(calc_lev&gt;='C2-SWT'!H31, 'C2-SWT'!A31, 0)</f>
        <v>0</v>
      </c>
      <c r="Q31" s="458"/>
      <c r="R31" s="458"/>
      <c r="S31" s="458"/>
      <c r="T31" s="458"/>
      <c r="U31" s="458">
        <f>IF(calc_lev&gt;='C3-SWT'!H31, 'C3-SWT'!A31, 0)</f>
        <v>0</v>
      </c>
      <c r="V31" s="458"/>
      <c r="W31" s="458"/>
      <c r="X31" s="458"/>
      <c r="Y31" s="211" t="str">
        <f>IF(calc_lev&gt;='C1-SWT'!H31, IF('C1-SWT'!L31&gt;98, 98, 'C1-SWT'!L31), 0)&amp;" "&amp;percent</f>
        <v>0 %</v>
      </c>
      <c r="Z31" s="211" t="str">
        <f>IF(calc_lev&gt;='C2-SWT'!H31, IF('C2-SWT'!L31&gt;98, 98, 'C2-SWT'!L31), 0)&amp;" "&amp;percent</f>
        <v>0 %</v>
      </c>
      <c r="AA31" s="212" t="str">
        <f>IF(calc_lev&gt;='C3-SWT'!H31, IF('C3-SWT'!L31&gt;98, 98, 'C3-SWT'!L31), 0)&amp;" "&amp;percent</f>
        <v>0 %</v>
      </c>
      <c r="AB31" s="136"/>
    </row>
    <row r="32" spans="1:30" x14ac:dyDescent="0.25">
      <c r="C32" s="228" t="s">
        <v>2</v>
      </c>
      <c r="D32" s="203">
        <f>occ1_me</f>
        <v>10</v>
      </c>
      <c r="E32" s="203">
        <f>occ2_me</f>
        <v>10</v>
      </c>
      <c r="F32" s="203">
        <f>occ3_me</f>
        <v>10</v>
      </c>
      <c r="H32" s="138"/>
      <c r="I32" s="207">
        <v>3</v>
      </c>
      <c r="K32" s="459">
        <f>IF(calc_lev&gt;='C1-SWT'!H32, 'C1-SWT'!A32, 0)</f>
        <v>0</v>
      </c>
      <c r="L32" s="458"/>
      <c r="M32" s="458"/>
      <c r="N32" s="458"/>
      <c r="O32" s="458"/>
      <c r="P32" s="458">
        <f>IF(calc_lev&gt;='C2-SWT'!H32, 'C2-SWT'!A32, 0)</f>
        <v>0</v>
      </c>
      <c r="Q32" s="458"/>
      <c r="R32" s="458"/>
      <c r="S32" s="458"/>
      <c r="T32" s="458"/>
      <c r="U32" s="458">
        <f>IF(calc_lev&gt;='C3-SWT'!H32, 'C3-SWT'!A32, 0)</f>
        <v>0</v>
      </c>
      <c r="V32" s="458"/>
      <c r="W32" s="458"/>
      <c r="X32" s="458"/>
      <c r="Y32" s="211" t="str">
        <f>IF(calc_lev&gt;='C1-SWT'!H32, IF('C1-SWT'!L32&gt;98, 98, 'C1-SWT'!L32), 0)&amp;" "&amp;percent</f>
        <v>0 %</v>
      </c>
      <c r="Z32" s="211" t="str">
        <f>IF(calc_lev&gt;='C2-SWT'!H32, IF('C2-SWT'!L32&gt;98, 98, 'C2-SWT'!L32), 0)&amp;" "&amp;percent</f>
        <v>0 %</v>
      </c>
      <c r="AA32" s="212" t="str">
        <f>IF(calc_lev&gt;='C3-SWT'!H32, IF('C3-SWT'!L32&gt;98, 98, 'C3-SWT'!L32), 0)&amp;" "&amp;percent</f>
        <v>0 %</v>
      </c>
      <c r="AB32" s="136"/>
    </row>
    <row r="33" spans="1:30" x14ac:dyDescent="0.25">
      <c r="C33" s="228" t="s">
        <v>3</v>
      </c>
      <c r="D33" s="203">
        <f>occ1_ma</f>
        <v>7</v>
      </c>
      <c r="E33" s="203">
        <f>occ2_ma</f>
        <v>7</v>
      </c>
      <c r="F33" s="203">
        <f>occ3_ma</f>
        <v>10</v>
      </c>
      <c r="G33" s="138"/>
      <c r="H33" s="138"/>
      <c r="I33" s="207">
        <v>4</v>
      </c>
      <c r="K33" s="459">
        <f>IF(calc_lev&gt;='C1-SWT'!H33, 'C1-SWT'!A33, 0)</f>
        <v>0</v>
      </c>
      <c r="L33" s="458"/>
      <c r="M33" s="458"/>
      <c r="N33" s="458"/>
      <c r="O33" s="458"/>
      <c r="P33" s="458">
        <f>IF(calc_lev&gt;='C2-SWT'!H33, 'C2-SWT'!A33, 0)</f>
        <v>0</v>
      </c>
      <c r="Q33" s="458"/>
      <c r="R33" s="458"/>
      <c r="S33" s="458"/>
      <c r="T33" s="458"/>
      <c r="U33" s="458">
        <f>IF(calc_lev&gt;='C3-SWT'!H33, 'C3-SWT'!A33, 0)</f>
        <v>0</v>
      </c>
      <c r="V33" s="458"/>
      <c r="W33" s="458"/>
      <c r="X33" s="458"/>
      <c r="Y33" s="211" t="str">
        <f>IF(calc_lev&gt;='C1-SWT'!H33, IF('C1-SWT'!L33&gt;98, 98, 'C1-SWT'!L33), 0)&amp;" "&amp;percent</f>
        <v>0 %</v>
      </c>
      <c r="Z33" s="211" t="str">
        <f>IF(calc_lev&gt;='C2-SWT'!H33, IF('C2-SWT'!L33&gt;98, 98, 'C2-SWT'!L33), 0)&amp;" "&amp;percent</f>
        <v>0 %</v>
      </c>
      <c r="AA33" s="212" t="str">
        <f>IF(calc_lev&gt;='C3-SWT'!H33, IF('C3-SWT'!L33&gt;98, 98, 'C3-SWT'!L33), 0)&amp;" "&amp;percent</f>
        <v>0 %</v>
      </c>
      <c r="AB33" s="136"/>
    </row>
    <row r="34" spans="1:30" x14ac:dyDescent="0.25">
      <c r="C34" s="228" t="s">
        <v>4</v>
      </c>
      <c r="D34" s="203">
        <f>occ1_ps</f>
        <v>25</v>
      </c>
      <c r="E34" s="203">
        <f>occ2_ps</f>
        <v>20</v>
      </c>
      <c r="F34" s="203">
        <f>occ3_ps</f>
        <v>24</v>
      </c>
      <c r="G34" s="138"/>
      <c r="H34" s="138"/>
      <c r="I34" s="207">
        <v>5</v>
      </c>
      <c r="K34" s="459">
        <f>IF(calc_lev&gt;='C1-SWT'!H34, 'C1-SWT'!A34, 0)</f>
        <v>0</v>
      </c>
      <c r="L34" s="458"/>
      <c r="M34" s="458"/>
      <c r="N34" s="458"/>
      <c r="O34" s="458"/>
      <c r="P34" s="458">
        <f>IF(calc_lev&gt;='C2-SWT'!H34, 'C2-SWT'!A34, 0)</f>
        <v>0</v>
      </c>
      <c r="Q34" s="458"/>
      <c r="R34" s="458"/>
      <c r="S34" s="458"/>
      <c r="T34" s="458"/>
      <c r="U34" s="458">
        <f>IF(calc_lev&gt;='C3-SWT'!H34, 'C3-SWT'!A34, 0)</f>
        <v>0</v>
      </c>
      <c r="V34" s="458"/>
      <c r="W34" s="458"/>
      <c r="X34" s="458"/>
      <c r="Y34" s="211" t="str">
        <f>IF(calc_lev&gt;='C1-SWT'!H34, IF('C1-SWT'!L34&gt;98, 98, 'C1-SWT'!L34), 0)&amp;" "&amp;percent</f>
        <v>0 %</v>
      </c>
      <c r="Z34" s="211" t="str">
        <f>IF(calc_lev&gt;='C2-SWT'!H34, IF('C2-SWT'!L34&gt;98, 98, 'C2-SWT'!L34), 0)&amp;" "&amp;percent</f>
        <v>0 %</v>
      </c>
      <c r="AA34" s="212" t="str">
        <f>IF(calc_lev&gt;='C3-SWT'!H34, IF('C3-SWT'!L34&gt;98, 98, 'C3-SWT'!L34), 0)&amp;" "&amp;percent</f>
        <v>0 %</v>
      </c>
      <c r="AB34" s="136"/>
    </row>
    <row r="35" spans="1:30" x14ac:dyDescent="0.25">
      <c r="C35" s="228" t="s">
        <v>5</v>
      </c>
      <c r="D35" s="203">
        <f>occ1_pp</f>
        <v>10</v>
      </c>
      <c r="E35" s="203">
        <f>occ2_pp</f>
        <v>10</v>
      </c>
      <c r="F35" s="203">
        <f>occ3_pp</f>
        <v>10</v>
      </c>
      <c r="G35" s="138"/>
      <c r="H35" s="138"/>
      <c r="I35" s="207">
        <v>6</v>
      </c>
      <c r="K35" s="459">
        <f>IF(calc_lev&gt;='C1-SWT'!H35, 'C1-SWT'!A35, 0)</f>
        <v>0</v>
      </c>
      <c r="L35" s="458"/>
      <c r="M35" s="458"/>
      <c r="N35" s="458"/>
      <c r="O35" s="458"/>
      <c r="P35" s="458">
        <f>IF(calc_lev&gt;='C2-SWT'!H35, 'C2-SWT'!A35, 0)</f>
        <v>0</v>
      </c>
      <c r="Q35" s="458"/>
      <c r="R35" s="458"/>
      <c r="S35" s="458"/>
      <c r="T35" s="458"/>
      <c r="U35" s="458">
        <f>IF(calc_lev&gt;='C3-SWT'!H35, 'C3-SWT'!A35, 0)</f>
        <v>0</v>
      </c>
      <c r="V35" s="458"/>
      <c r="W35" s="458"/>
      <c r="X35" s="458"/>
      <c r="Y35" s="211" t="str">
        <f>IF(calc_lev&gt;='C1-SWT'!H35, IF('C1-SWT'!L35&gt;98, 98, 'C1-SWT'!L35), 0)&amp;" "&amp;percent</f>
        <v>0 %</v>
      </c>
      <c r="Z35" s="211" t="str">
        <f>IF(calc_lev&gt;='C2-SWT'!H35, IF('C2-SWT'!L35&gt;98, 98, 'C2-SWT'!L35), 0)&amp;" "&amp;percent</f>
        <v>0 %</v>
      </c>
      <c r="AA35" s="212" t="str">
        <f>IF(calc_lev&gt;='C3-SWT'!H35, IF('C3-SWT'!L35&gt;98, 98, 'C3-SWT'!L35), 0)&amp;" "&amp;percent</f>
        <v>0 %</v>
      </c>
      <c r="AB35" s="136"/>
    </row>
    <row r="36" spans="1:30" x14ac:dyDescent="0.25">
      <c r="C36" s="228" t="s">
        <v>6</v>
      </c>
      <c r="D36" s="203">
        <f>occ1_pe</f>
        <v>14</v>
      </c>
      <c r="E36" s="203">
        <f>occ2_pe</f>
        <v>17</v>
      </c>
      <c r="F36" s="203">
        <f>occ3_pe</f>
        <v>15</v>
      </c>
      <c r="G36" s="137"/>
      <c r="H36" s="137"/>
      <c r="I36" s="207">
        <v>7</v>
      </c>
      <c r="K36" s="459">
        <f>IF(calc_lev&gt;='C1-SWT'!H36, 'C1-SWT'!A36, 0)</f>
        <v>0</v>
      </c>
      <c r="L36" s="458"/>
      <c r="M36" s="458"/>
      <c r="N36" s="458"/>
      <c r="O36" s="458"/>
      <c r="P36" s="458">
        <f>IF(calc_lev&gt;='C2-SWT'!H36, 'C2-SWT'!A36, 0)</f>
        <v>0</v>
      </c>
      <c r="Q36" s="458"/>
      <c r="R36" s="458"/>
      <c r="S36" s="458"/>
      <c r="T36" s="458"/>
      <c r="U36" s="458">
        <f>IF(calc_lev&gt;='C3-SWT'!H36, 'C3-SWT'!A36, 0)</f>
        <v>0</v>
      </c>
      <c r="V36" s="458"/>
      <c r="W36" s="458"/>
      <c r="X36" s="458"/>
      <c r="Y36" s="211" t="str">
        <f>IF(calc_lev&gt;='C1-SWT'!H36, IF('C1-SWT'!L36&gt;98, 98, 'C1-SWT'!L36), 0)&amp;" "&amp;percent</f>
        <v>0 %</v>
      </c>
      <c r="Z36" s="211" t="str">
        <f>IF(calc_lev&gt;='C2-SWT'!H36, IF('C2-SWT'!L36&gt;98, 98, 'C2-SWT'!L36), 0)&amp;" "&amp;percent</f>
        <v>0 %</v>
      </c>
      <c r="AA36" s="212" t="str">
        <f>IF(calc_lev&gt;='C3-SWT'!H36, IF('C3-SWT'!L36&gt;98, 98, 'C3-SWT'!L36), 0)&amp;" "&amp;percent</f>
        <v>0 %</v>
      </c>
      <c r="AB36" s="136"/>
    </row>
    <row r="37" spans="1:30" x14ac:dyDescent="0.25">
      <c r="C37" s="228" t="s">
        <v>7</v>
      </c>
      <c r="D37" s="203">
        <f>occ1_pb</f>
        <v>9</v>
      </c>
      <c r="E37" s="203">
        <f>occ2_pb</f>
        <v>9</v>
      </c>
      <c r="F37" s="203">
        <f>occ3_pb</f>
        <v>9</v>
      </c>
      <c r="G37" s="138"/>
      <c r="H37" s="138"/>
      <c r="I37" s="207">
        <v>8</v>
      </c>
      <c r="K37" s="459">
        <f>IF(calc_lev&gt;='C1-SWT'!H37, 'C1-SWT'!A37, 0)</f>
        <v>0</v>
      </c>
      <c r="L37" s="458"/>
      <c r="M37" s="458"/>
      <c r="N37" s="458"/>
      <c r="O37" s="458"/>
      <c r="P37" s="458">
        <f>IF(calc_lev&gt;='C2-SWT'!H37, 'C2-SWT'!A37, 0)</f>
        <v>0</v>
      </c>
      <c r="Q37" s="458"/>
      <c r="R37" s="458"/>
      <c r="S37" s="458"/>
      <c r="T37" s="458"/>
      <c r="U37" s="458">
        <f>IF(calc_lev&gt;='C3-SWT'!H37, 'C3-SWT'!A37, 0)</f>
        <v>0</v>
      </c>
      <c r="V37" s="458"/>
      <c r="W37" s="458"/>
      <c r="X37" s="458"/>
      <c r="Y37" s="211" t="str">
        <f>IF(calc_lev&gt;='C1-SWT'!H37, IF('C1-SWT'!L37&gt;98, 98, 'C1-SWT'!L37), 0)&amp;" "&amp;percent</f>
        <v>0 %</v>
      </c>
      <c r="Z37" s="211" t="str">
        <f>IF(calc_lev&gt;='C2-SWT'!H37, IF('C2-SWT'!L37&gt;98, 98, 'C2-SWT'!L37), 0)&amp;" "&amp;percent</f>
        <v>0 %</v>
      </c>
      <c r="AA37" s="212" t="str">
        <f>IF(calc_lev&gt;='C3-SWT'!H37, IF('C3-SWT'!L37&gt;98, 98, 'C3-SWT'!L37), 0)&amp;" "&amp;percent</f>
        <v>0 %</v>
      </c>
      <c r="AB37" s="136"/>
    </row>
    <row r="38" spans="1:30" x14ac:dyDescent="0.25">
      <c r="C38" s="228" t="s">
        <v>8</v>
      </c>
      <c r="D38" s="203">
        <f>occ1_spd</f>
        <v>7</v>
      </c>
      <c r="E38" s="203">
        <f>occ2_spd</f>
        <v>7</v>
      </c>
      <c r="F38" s="203">
        <f>occ3_spd</f>
        <v>10</v>
      </c>
      <c r="G38" s="138"/>
      <c r="H38" s="138"/>
      <c r="I38" s="207">
        <v>9</v>
      </c>
      <c r="K38" s="459">
        <f>IF(calc_lev&gt;='C1-SWT'!H38, 'C1-SWT'!A38, 0)</f>
        <v>0</v>
      </c>
      <c r="L38" s="458"/>
      <c r="M38" s="458"/>
      <c r="N38" s="458"/>
      <c r="O38" s="458"/>
      <c r="P38" s="458">
        <f>IF(calc_lev&gt;='C2-SWT'!H38, 'C2-SWT'!A38, 0)</f>
        <v>0</v>
      </c>
      <c r="Q38" s="458"/>
      <c r="R38" s="458"/>
      <c r="S38" s="458"/>
      <c r="T38" s="458"/>
      <c r="U38" s="458">
        <f>IF(calc_lev&gt;='C3-SWT'!H38, 'C3-SWT'!A38, 0)</f>
        <v>0</v>
      </c>
      <c r="V38" s="458"/>
      <c r="W38" s="458"/>
      <c r="X38" s="458"/>
      <c r="Y38" s="211" t="str">
        <f>IF(calc_lev&gt;='C1-SWT'!H38, IF('C1-SWT'!L38&gt;98, 98, 'C1-SWT'!L38), 0)&amp;" "&amp;percent</f>
        <v>0 %</v>
      </c>
      <c r="Z38" s="211" t="str">
        <f>IF(calc_lev&gt;='C2-SWT'!H38, IF('C2-SWT'!L38&gt;98, 98, 'C2-SWT'!L38), 0)&amp;" "&amp;percent</f>
        <v>0 %</v>
      </c>
      <c r="AA38" s="212" t="str">
        <f>IF(calc_lev&gt;='C3-SWT'!H38, IF('C3-SWT'!L38&gt;98, 98, 'C3-SWT'!L38), 0)&amp;" "&amp;percent</f>
        <v>0 %</v>
      </c>
      <c r="AB38" s="136"/>
    </row>
    <row r="39" spans="1:30" x14ac:dyDescent="0.25">
      <c r="C39" s="233" t="s">
        <v>337</v>
      </c>
      <c r="D39" s="234" t="s">
        <v>323</v>
      </c>
      <c r="E39" s="234" t="s">
        <v>324</v>
      </c>
      <c r="F39" s="234" t="s">
        <v>325</v>
      </c>
      <c r="G39" s="138"/>
      <c r="H39" s="138"/>
      <c r="I39" s="207">
        <v>10</v>
      </c>
      <c r="K39" s="459">
        <f>IF(calc_lev&gt;='C1-SWT'!H39, 'C1-SWT'!A39, 0)</f>
        <v>0</v>
      </c>
      <c r="L39" s="458"/>
      <c r="M39" s="458"/>
      <c r="N39" s="458"/>
      <c r="O39" s="458"/>
      <c r="P39" s="458">
        <f>IF(calc_lev&gt;='C2-SWT'!H39, 'C2-SWT'!A39, 0)</f>
        <v>0</v>
      </c>
      <c r="Q39" s="458"/>
      <c r="R39" s="458"/>
      <c r="S39" s="458"/>
      <c r="T39" s="458"/>
      <c r="U39" s="458">
        <f>IF(calc_lev&gt;='C3-SWT'!H39, 'C3-SWT'!A39, 0)</f>
        <v>0</v>
      </c>
      <c r="V39" s="458"/>
      <c r="W39" s="458"/>
      <c r="X39" s="458"/>
      <c r="Y39" s="211" t="str">
        <f>IF(calc_lev&gt;='C1-SWT'!H39, IF('C1-SWT'!L39&gt;98, 98, 'C1-SWT'!L39), 0)&amp;" "&amp;percent</f>
        <v>0 %</v>
      </c>
      <c r="Z39" s="211" t="str">
        <f>IF(calc_lev&gt;='C2-SWT'!H39, IF('C2-SWT'!L39&gt;98, 98, 'C2-SWT'!L39), 0)&amp;" "&amp;percent</f>
        <v>0 %</v>
      </c>
      <c r="AA39" s="212" t="str">
        <f>IF(calc_lev&gt;='C3-SWT'!H39, IF('C3-SWT'!L39&gt;98, 98, 'C3-SWT'!L39), 0)&amp;" "&amp;percent</f>
        <v>0 %</v>
      </c>
      <c r="AB39" s="136"/>
    </row>
    <row r="40" spans="1:30" x14ac:dyDescent="0.25">
      <c r="C40" s="475" t="s">
        <v>338</v>
      </c>
      <c r="D40" s="475"/>
      <c r="E40" s="475"/>
      <c r="F40" s="475"/>
      <c r="G40" s="138"/>
      <c r="H40" s="138"/>
      <c r="I40" s="207">
        <v>11</v>
      </c>
      <c r="K40" s="459">
        <f>IF(calc_lev&gt;='C1-SWT'!H40, 'C1-SWT'!A40, 0)</f>
        <v>0</v>
      </c>
      <c r="L40" s="458"/>
      <c r="M40" s="458"/>
      <c r="N40" s="458"/>
      <c r="O40" s="458"/>
      <c r="P40" s="458">
        <f>IF(calc_lev&gt;='C2-SWT'!H40, 'C2-SWT'!A40, 0)</f>
        <v>0</v>
      </c>
      <c r="Q40" s="458"/>
      <c r="R40" s="458"/>
      <c r="S40" s="458"/>
      <c r="T40" s="458"/>
      <c r="U40" s="458">
        <f>IF(calc_lev&gt;='C3-SWT'!H40, 'C3-SWT'!A40, 0)</f>
        <v>0</v>
      </c>
      <c r="V40" s="458"/>
      <c r="W40" s="458"/>
      <c r="X40" s="458"/>
      <c r="Y40" s="211" t="str">
        <f>IF(calc_lev&gt;='C1-SWT'!H40, IF('C1-SWT'!L40&gt;98, 98, 'C1-SWT'!L40), 0)&amp;" "&amp;percent</f>
        <v>0 %</v>
      </c>
      <c r="Z40" s="211" t="str">
        <f>IF(calc_lev&gt;='C2-SWT'!H40, IF('C2-SWT'!L40&gt;98, 98, 'C2-SWT'!L40), 0)&amp;" "&amp;percent</f>
        <v>0 %</v>
      </c>
      <c r="AA40" s="212" t="str">
        <f>IF(calc_lev&gt;='C3-SWT'!H40, IF('C3-SWT'!L40&gt;98, 98, 'C3-SWT'!L40), 0)&amp;" "&amp;percent</f>
        <v>0 %</v>
      </c>
      <c r="AB40" s="136"/>
    </row>
    <row r="41" spans="1:30" x14ac:dyDescent="0.25">
      <c r="E41" s="195"/>
      <c r="F41" s="194"/>
      <c r="G41" s="138"/>
      <c r="H41" s="138"/>
      <c r="I41" s="207">
        <v>12</v>
      </c>
      <c r="K41" s="459">
        <f>IF(calc_lev&gt;='C1-SWT'!H41, 'C1-SWT'!A41, 0)</f>
        <v>0</v>
      </c>
      <c r="L41" s="458"/>
      <c r="M41" s="458"/>
      <c r="N41" s="458"/>
      <c r="O41" s="458"/>
      <c r="P41" s="458">
        <f>IF(calc_lev&gt;='C2-SWT'!H41, 'C2-SWT'!A41, 0)</f>
        <v>0</v>
      </c>
      <c r="Q41" s="458"/>
      <c r="R41" s="458"/>
      <c r="S41" s="458"/>
      <c r="T41" s="458"/>
      <c r="U41" s="458">
        <f>IF(calc_lev&gt;='C3-SWT'!H41, 'C3-SWT'!A41, 0)</f>
        <v>0</v>
      </c>
      <c r="V41" s="458"/>
      <c r="W41" s="458"/>
      <c r="X41" s="458"/>
      <c r="Y41" s="211" t="str">
        <f>IF(calc_lev&gt;='C1-SWT'!H41, IF('C1-SWT'!L41&gt;98, 98, 'C1-SWT'!L41), 0)&amp;" "&amp;percent</f>
        <v>0 %</v>
      </c>
      <c r="Z41" s="211" t="str">
        <f>IF(calc_lev&gt;='C2-SWT'!H41, IF('C2-SWT'!L41&gt;98, 98, 'C2-SWT'!L41), 0)&amp;" "&amp;percent</f>
        <v>0 %</v>
      </c>
      <c r="AA41" s="212" t="str">
        <f>IF(calc_lev&gt;='C3-SWT'!H41, IF('C3-SWT'!L41&gt;98, 98, 'C3-SWT'!L41), 0)&amp;" "&amp;percent</f>
        <v>0 %</v>
      </c>
      <c r="AB41" s="136"/>
    </row>
    <row r="42" spans="1:30" x14ac:dyDescent="0.25">
      <c r="B42" s="138"/>
      <c r="C42" s="202" t="s">
        <v>80</v>
      </c>
      <c r="D42" s="197">
        <f>_xlfn.IFNA(VLOOKUP(occ_select, combat_bonus, 12, FALSE), "")</f>
        <v>10</v>
      </c>
      <c r="E42" s="138"/>
      <c r="F42" s="138"/>
      <c r="G42" s="138"/>
      <c r="H42" s="138"/>
      <c r="I42" s="207">
        <v>13</v>
      </c>
      <c r="K42" s="459">
        <f>IF(calc_lev&gt;='C1-SWT'!H42, 'C1-SWT'!A42, 0)</f>
        <v>0</v>
      </c>
      <c r="L42" s="458"/>
      <c r="M42" s="458"/>
      <c r="N42" s="458"/>
      <c r="O42" s="458"/>
      <c r="P42" s="458">
        <f>IF(calc_lev&gt;='C2-SWT'!H42, 'C2-SWT'!A42, 0)</f>
        <v>0</v>
      </c>
      <c r="Q42" s="458"/>
      <c r="R42" s="458"/>
      <c r="S42" s="458"/>
      <c r="T42" s="458"/>
      <c r="U42" s="458">
        <f>IF(calc_lev&gt;='C3-SWT'!H42, 'C3-SWT'!A42, 0)</f>
        <v>0</v>
      </c>
      <c r="V42" s="458"/>
      <c r="W42" s="458"/>
      <c r="X42" s="458"/>
      <c r="Y42" s="211" t="str">
        <f>IF(calc_lev&gt;='C1-SWT'!H42, IF('C1-SWT'!L42&gt;98, 98, 'C1-SWT'!L42), 0)&amp;" "&amp;percent</f>
        <v>0 %</v>
      </c>
      <c r="Z42" s="211" t="str">
        <f>IF(calc_lev&gt;='C2-SWT'!H42, IF('C2-SWT'!L42&gt;98, 98, 'C2-SWT'!L42), 0)&amp;" "&amp;percent</f>
        <v>0 %</v>
      </c>
      <c r="AA42" s="212" t="str">
        <f>IF(calc_lev&gt;='C3-SWT'!H42, IF('C3-SWT'!L42&gt;98, 98, 'C3-SWT'!L42), 0)&amp;" "&amp;percent</f>
        <v>0 %</v>
      </c>
      <c r="AB42" s="136"/>
    </row>
    <row r="43" spans="1:30" x14ac:dyDescent="0.25">
      <c r="B43" s="138"/>
      <c r="C43" s="204" t="s">
        <v>144</v>
      </c>
      <c r="D43" s="205">
        <f>_xlfn.IFNA(VLOOKUP(occ_select, combat_bonus, 13, FALSE), "")</f>
        <v>20</v>
      </c>
      <c r="E43" s="138"/>
      <c r="F43" s="138"/>
      <c r="G43" s="138"/>
      <c r="H43" s="138"/>
      <c r="I43" s="207">
        <v>14</v>
      </c>
      <c r="K43" s="459">
        <f>IF(calc_lev&gt;='C1-SWT'!H43, 'C1-SWT'!A43, 0)</f>
        <v>0</v>
      </c>
      <c r="L43" s="458"/>
      <c r="M43" s="458"/>
      <c r="N43" s="458"/>
      <c r="O43" s="458"/>
      <c r="P43" s="458">
        <f>IF(calc_lev&gt;='C2-SWT'!H43, 'C2-SWT'!A43, 0)</f>
        <v>0</v>
      </c>
      <c r="Q43" s="458"/>
      <c r="R43" s="458"/>
      <c r="S43" s="458"/>
      <c r="T43" s="458"/>
      <c r="U43" s="458">
        <f>IF(calc_lev&gt;='C3-SWT'!H43, 'C3-SWT'!A43, 0)</f>
        <v>0</v>
      </c>
      <c r="V43" s="458"/>
      <c r="W43" s="458"/>
      <c r="X43" s="458"/>
      <c r="Y43" s="211" t="str">
        <f>IF(calc_lev&gt;='C1-SWT'!H43, IF('C1-SWT'!L43&gt;98, 98, 'C1-SWT'!L43), 0)&amp;" "&amp;percent</f>
        <v>0 %</v>
      </c>
      <c r="Z43" s="211" t="str">
        <f>IF(calc_lev&gt;='C2-SWT'!H43, IF('C2-SWT'!L43&gt;98, 98, 'C2-SWT'!L43), 0)&amp;" "&amp;percent</f>
        <v>0 %</v>
      </c>
      <c r="AA43" s="212" t="str">
        <f>IF(calc_lev&gt;='C3-SWT'!H43, IF('C3-SWT'!L43&gt;98, 98, 'C3-SWT'!L43), 0)&amp;" "&amp;percent</f>
        <v>0 %</v>
      </c>
      <c r="AB43" s="136"/>
    </row>
    <row r="44" spans="1:30" x14ac:dyDescent="0.25">
      <c r="C44" s="138"/>
      <c r="D44" s="138"/>
      <c r="E44" s="138"/>
      <c r="F44" s="138"/>
      <c r="G44" s="138"/>
      <c r="H44" s="138"/>
      <c r="I44" s="207">
        <v>15</v>
      </c>
      <c r="K44" s="459">
        <f>IF(calc_lev&gt;='C1-SWT'!H44, 'C1-SWT'!A44, 0)</f>
        <v>0</v>
      </c>
      <c r="L44" s="458"/>
      <c r="M44" s="458"/>
      <c r="N44" s="458"/>
      <c r="O44" s="458"/>
      <c r="P44" s="458">
        <f>IF(calc_lev&gt;='C2-SWT'!H44, 'C2-SWT'!A44, 0)</f>
        <v>0</v>
      </c>
      <c r="Q44" s="458"/>
      <c r="R44" s="458"/>
      <c r="S44" s="458"/>
      <c r="T44" s="458"/>
      <c r="U44" s="458">
        <f>IF(calc_lev&gt;='C3-SWT'!H44, 'C3-SWT'!A44, 0)</f>
        <v>0</v>
      </c>
      <c r="V44" s="458"/>
      <c r="W44" s="458"/>
      <c r="X44" s="458"/>
      <c r="Y44" s="211" t="str">
        <f>IF(calc_lev&gt;='C1-SWT'!H44, IF('C1-SWT'!L44&gt;98, 98, 'C1-SWT'!L44), 0)&amp;" "&amp;percent</f>
        <v>0 %</v>
      </c>
      <c r="Z44" s="211" t="str">
        <f>IF(calc_lev&gt;='C2-SWT'!H44, IF('C2-SWT'!L44&gt;98, 98, 'C2-SWT'!L44), 0)&amp;" "&amp;percent</f>
        <v>0 %</v>
      </c>
      <c r="AA44" s="212" t="str">
        <f>IF(calc_lev&gt;='C3-SWT'!H44, IF('C3-SWT'!L44&gt;98, 98, 'C3-SWT'!L44), 0)&amp;" "&amp;percent</f>
        <v>0 %</v>
      </c>
      <c r="AB44" s="136"/>
    </row>
    <row r="45" spans="1:30" x14ac:dyDescent="0.25">
      <c r="A45" s="154"/>
      <c r="B45" s="20"/>
      <c r="E45" s="20"/>
      <c r="F45" s="20"/>
      <c r="G45" s="20"/>
      <c r="H45" s="20"/>
      <c r="K45" s="459">
        <f>IF(calc_lev&gt;='C1-SWT'!H45, 'C1-SWT'!A45, 0)</f>
        <v>0</v>
      </c>
      <c r="L45" s="458"/>
      <c r="M45" s="458"/>
      <c r="N45" s="458"/>
      <c r="O45" s="458"/>
      <c r="P45" s="458">
        <f>IF(calc_lev&gt;='C2-SWT'!H45, 'C2-SWT'!A45, 0)</f>
        <v>0</v>
      </c>
      <c r="Q45" s="458"/>
      <c r="R45" s="458"/>
      <c r="S45" s="458"/>
      <c r="T45" s="458"/>
      <c r="U45" s="458">
        <f>IF(calc_lev&gt;='C3-SWT'!H45, 'C3-SWT'!A45, 0)</f>
        <v>0</v>
      </c>
      <c r="V45" s="458"/>
      <c r="W45" s="458"/>
      <c r="X45" s="458"/>
      <c r="Y45" s="211" t="str">
        <f>IF(calc_lev&gt;='C1-SWT'!H45, IF('C1-SWT'!L45&gt;98, 98, 'C1-SWT'!L45), 0)&amp;" "&amp;percent</f>
        <v>0 %</v>
      </c>
      <c r="Z45" s="211" t="str">
        <f>IF(calc_lev&gt;='C2-SWT'!H45, IF('C2-SWT'!L45&gt;98, 98, 'C2-SWT'!L45), 0)&amp;" "&amp;percent</f>
        <v>0 %</v>
      </c>
      <c r="AA45" s="212" t="str">
        <f>IF(calc_lev&gt;='C3-SWT'!H45, IF('C3-SWT'!L45&gt;98, 98, 'C3-SWT'!L45), 0)&amp;" "&amp;percent</f>
        <v>0 %</v>
      </c>
      <c r="AB45" s="136"/>
    </row>
    <row r="46" spans="1:30" ht="15.75" thickBot="1" x14ac:dyDescent="0.3">
      <c r="A46" s="142"/>
      <c r="B46" s="20"/>
      <c r="E46" s="20"/>
      <c r="K46" s="464">
        <f>IF(calc_lev&gt;='C1-SWT'!H46, 'C1-SWT'!A46, 0)</f>
        <v>0</v>
      </c>
      <c r="L46" s="465"/>
      <c r="M46" s="465"/>
      <c r="N46" s="465"/>
      <c r="O46" s="465"/>
      <c r="P46" s="465">
        <f>IF(calc_lev&gt;='C2-SWT'!H46, 'C2-SWT'!A46, 0)</f>
        <v>0</v>
      </c>
      <c r="Q46" s="465"/>
      <c r="R46" s="465"/>
      <c r="S46" s="465"/>
      <c r="T46" s="465"/>
      <c r="U46" s="465">
        <f>IF(calc_lev&gt;='C3-SWT'!H46, 'C3-SWT'!A46, 0)</f>
        <v>0</v>
      </c>
      <c r="V46" s="465"/>
      <c r="W46" s="465"/>
      <c r="X46" s="465"/>
      <c r="Y46" s="213" t="str">
        <f>IF(calc_lev&gt;='C1-SWT'!H46, IF('C1-SWT'!L46&gt;98, 98, 'C1-SWT'!L46), 0)&amp;" "&amp;percent</f>
        <v>0 %</v>
      </c>
      <c r="Z46" s="213" t="str">
        <f>IF(calc_lev&gt;='C2-SWT'!H46, IF('C2-SWT'!L46&gt;98, 98, 'C2-SWT'!L46), 0)&amp;" "&amp;percent</f>
        <v>0 %</v>
      </c>
      <c r="AA46" s="214" t="str">
        <f>IF(calc_lev&gt;='C3-SWT'!H46, IF('C3-SWT'!L46&gt;98, 98, 'C3-SWT'!L46), 0)&amp;" "&amp;percent</f>
        <v>0 %</v>
      </c>
      <c r="AB46" s="136"/>
    </row>
    <row r="47" spans="1:30" s="1" customFormat="1" ht="15.75" thickBot="1" x14ac:dyDescent="0.3">
      <c r="A47" s="142"/>
      <c r="B47" s="20"/>
      <c r="C47" s="20"/>
      <c r="D47" s="20"/>
      <c r="E47" s="20"/>
      <c r="F47"/>
      <c r="G47"/>
      <c r="H47"/>
      <c r="I47"/>
      <c r="J47" s="4"/>
      <c r="K47" s="135"/>
      <c r="L47" s="135"/>
      <c r="M47" s="135"/>
      <c r="N47" s="135"/>
      <c r="O47" s="135"/>
      <c r="P47" s="135"/>
      <c r="Q47" s="135"/>
      <c r="R47" s="135"/>
      <c r="S47" s="135"/>
      <c r="T47" s="135"/>
      <c r="U47" s="135"/>
      <c r="V47" s="135"/>
      <c r="W47" s="135"/>
      <c r="X47" s="135"/>
      <c r="Y47" s="136"/>
      <c r="Z47" s="136"/>
      <c r="AA47" s="136"/>
      <c r="AB47" s="136"/>
      <c r="AC47" s="4"/>
      <c r="AD47" s="4"/>
    </row>
    <row r="48" spans="1:30" ht="15.75" thickBot="1" x14ac:dyDescent="0.3">
      <c r="A48" s="142"/>
      <c r="B48" s="20"/>
      <c r="K48" s="450" t="s">
        <v>173</v>
      </c>
      <c r="L48" s="451"/>
      <c r="M48" s="451"/>
      <c r="N48" s="451"/>
      <c r="O48" s="451"/>
      <c r="P48" s="451"/>
      <c r="Q48" s="451"/>
      <c r="R48" s="451"/>
      <c r="S48" s="451"/>
      <c r="T48" s="451"/>
      <c r="U48" s="451"/>
      <c r="V48" s="451"/>
      <c r="W48" s="451"/>
      <c r="X48" s="451"/>
      <c r="Y48" s="451"/>
      <c r="Z48" s="451"/>
      <c r="AA48" s="452"/>
      <c r="AB48" s="61"/>
    </row>
    <row r="49" spans="8:28" x14ac:dyDescent="0.25">
      <c r="K49" s="453" t="s">
        <v>286</v>
      </c>
      <c r="L49" s="454"/>
      <c r="M49" s="454"/>
      <c r="N49" s="454"/>
      <c r="O49" s="454"/>
      <c r="P49" s="454"/>
      <c r="Q49" s="454"/>
      <c r="R49" s="454"/>
      <c r="S49" s="454"/>
      <c r="T49" s="454"/>
      <c r="U49" s="454"/>
      <c r="V49" s="454"/>
      <c r="W49" s="454"/>
      <c r="X49" s="454"/>
      <c r="Y49" s="454"/>
      <c r="Z49" s="454"/>
      <c r="AA49" s="455"/>
      <c r="AB49" s="147"/>
    </row>
    <row r="50" spans="8:28" x14ac:dyDescent="0.25">
      <c r="H50" s="1"/>
      <c r="I50" s="1"/>
      <c r="K50" s="442"/>
      <c r="L50" s="443"/>
      <c r="M50" s="443"/>
      <c r="N50" s="443"/>
      <c r="O50" s="443"/>
      <c r="P50" s="443"/>
      <c r="Q50" s="443"/>
      <c r="R50" s="443"/>
      <c r="S50" s="443"/>
      <c r="T50" s="443"/>
      <c r="U50" s="443"/>
      <c r="V50" s="443"/>
      <c r="W50" s="443"/>
      <c r="X50" s="443"/>
      <c r="Y50" s="443"/>
      <c r="Z50" s="443"/>
      <c r="AA50" s="444"/>
      <c r="AB50" s="147"/>
    </row>
    <row r="51" spans="8:28" x14ac:dyDescent="0.25">
      <c r="K51" s="442"/>
      <c r="L51" s="443"/>
      <c r="M51" s="443"/>
      <c r="N51" s="443"/>
      <c r="O51" s="443"/>
      <c r="P51" s="443"/>
      <c r="Q51" s="443"/>
      <c r="R51" s="443"/>
      <c r="S51" s="443"/>
      <c r="T51" s="443"/>
      <c r="U51" s="443"/>
      <c r="V51" s="443"/>
      <c r="W51" s="443"/>
      <c r="X51" s="443"/>
      <c r="Y51" s="443"/>
      <c r="Z51" s="443"/>
      <c r="AA51" s="444"/>
      <c r="AB51" s="147"/>
    </row>
    <row r="52" spans="8:28" x14ac:dyDescent="0.25">
      <c r="K52" s="442"/>
      <c r="L52" s="443"/>
      <c r="M52" s="443"/>
      <c r="N52" s="443"/>
      <c r="O52" s="443"/>
      <c r="P52" s="443"/>
      <c r="Q52" s="443"/>
      <c r="R52" s="443"/>
      <c r="S52" s="443"/>
      <c r="T52" s="443"/>
      <c r="U52" s="443"/>
      <c r="V52" s="443"/>
      <c r="W52" s="443"/>
      <c r="X52" s="443"/>
      <c r="Y52" s="443"/>
      <c r="Z52" s="443"/>
      <c r="AA52" s="444"/>
      <c r="AB52" s="147"/>
    </row>
    <row r="53" spans="8:28" ht="15.75" thickBot="1" x14ac:dyDescent="0.3">
      <c r="K53" s="445"/>
      <c r="L53" s="446"/>
      <c r="M53" s="446"/>
      <c r="N53" s="446"/>
      <c r="O53" s="446"/>
      <c r="P53" s="446"/>
      <c r="Q53" s="446"/>
      <c r="R53" s="446"/>
      <c r="S53" s="446"/>
      <c r="T53" s="446"/>
      <c r="U53" s="446"/>
      <c r="V53" s="446"/>
      <c r="W53" s="446"/>
      <c r="X53" s="446"/>
      <c r="Y53" s="446"/>
      <c r="Z53" s="446"/>
      <c r="AA53" s="447"/>
      <c r="AB53" s="147"/>
    </row>
    <row r="54" spans="8:28" ht="15.75" thickBot="1" x14ac:dyDescent="0.3">
      <c r="K54" s="194"/>
      <c r="L54" s="194"/>
      <c r="M54" s="194"/>
      <c r="N54" s="194"/>
      <c r="O54" s="194"/>
      <c r="P54" s="194"/>
      <c r="Q54" s="194"/>
      <c r="R54" s="194"/>
      <c r="S54" s="194"/>
      <c r="T54" s="194"/>
      <c r="U54" s="194"/>
      <c r="V54" s="194"/>
      <c r="W54" s="194"/>
      <c r="X54" s="194"/>
      <c r="Y54" s="194"/>
      <c r="Z54" s="194"/>
      <c r="AA54" s="194"/>
    </row>
    <row r="55" spans="8:28" ht="15.75" thickBot="1" x14ac:dyDescent="0.3">
      <c r="K55" s="450" t="s">
        <v>170</v>
      </c>
      <c r="L55" s="451"/>
      <c r="M55" s="451"/>
      <c r="N55" s="451"/>
      <c r="O55" s="451"/>
      <c r="P55" s="451"/>
      <c r="Q55" s="451"/>
      <c r="R55" s="451"/>
      <c r="S55" s="451"/>
      <c r="T55" s="451"/>
      <c r="U55" s="451"/>
      <c r="V55" s="451"/>
      <c r="W55" s="451"/>
      <c r="X55" s="451"/>
      <c r="Y55" s="451"/>
      <c r="Z55" s="451"/>
      <c r="AA55" s="452"/>
      <c r="AB55" s="61"/>
    </row>
    <row r="56" spans="8:28" x14ac:dyDescent="0.25">
      <c r="K56" s="140" t="s">
        <v>144</v>
      </c>
      <c r="L56" s="141">
        <f>total_isp</f>
        <v>20</v>
      </c>
      <c r="M56" s="448"/>
      <c r="N56" s="448"/>
      <c r="O56" s="448"/>
      <c r="P56" s="448"/>
      <c r="Q56" s="448"/>
      <c r="R56" s="448"/>
      <c r="S56" s="448"/>
      <c r="T56" s="448"/>
      <c r="U56" s="448"/>
      <c r="V56" s="448"/>
      <c r="W56" s="448"/>
      <c r="X56" s="448"/>
      <c r="Y56" s="448"/>
      <c r="Z56" s="448"/>
      <c r="AA56" s="449"/>
      <c r="AB56" s="147"/>
    </row>
    <row r="57" spans="8:28" x14ac:dyDescent="0.25">
      <c r="K57" s="442" t="s">
        <v>387</v>
      </c>
      <c r="L57" s="443"/>
      <c r="M57" s="443"/>
      <c r="N57" s="443"/>
      <c r="O57" s="443"/>
      <c r="P57" s="443"/>
      <c r="Q57" s="443"/>
      <c r="R57" s="443"/>
      <c r="S57" s="443"/>
      <c r="T57" s="443"/>
      <c r="U57" s="443"/>
      <c r="V57" s="443"/>
      <c r="W57" s="443"/>
      <c r="X57" s="443"/>
      <c r="Y57" s="443"/>
      <c r="Z57" s="443"/>
      <c r="AA57" s="444"/>
      <c r="AB57" s="147"/>
    </row>
    <row r="58" spans="8:28" x14ac:dyDescent="0.25">
      <c r="K58" s="442" t="s">
        <v>388</v>
      </c>
      <c r="L58" s="443"/>
      <c r="M58" s="443"/>
      <c r="N58" s="443"/>
      <c r="O58" s="443"/>
      <c r="P58" s="443"/>
      <c r="Q58" s="443"/>
      <c r="R58" s="443"/>
      <c r="S58" s="443"/>
      <c r="T58" s="443"/>
      <c r="U58" s="443"/>
      <c r="V58" s="443"/>
      <c r="W58" s="443"/>
      <c r="X58" s="443"/>
      <c r="Y58" s="443"/>
      <c r="Z58" s="443"/>
      <c r="AA58" s="444"/>
      <c r="AB58" s="147"/>
    </row>
    <row r="59" spans="8:28" x14ac:dyDescent="0.25">
      <c r="K59" s="442" t="s">
        <v>389</v>
      </c>
      <c r="L59" s="443"/>
      <c r="M59" s="443"/>
      <c r="N59" s="443"/>
      <c r="O59" s="443"/>
      <c r="P59" s="443"/>
      <c r="Q59" s="443"/>
      <c r="R59" s="443"/>
      <c r="S59" s="443"/>
      <c r="T59" s="443"/>
      <c r="U59" s="443"/>
      <c r="V59" s="443"/>
      <c r="W59" s="443"/>
      <c r="X59" s="443"/>
      <c r="Y59" s="443"/>
      <c r="Z59" s="443"/>
      <c r="AA59" s="444"/>
      <c r="AB59" s="147"/>
    </row>
    <row r="60" spans="8:28" ht="15.75" thickBot="1" x14ac:dyDescent="0.3">
      <c r="K60" s="445" t="s">
        <v>287</v>
      </c>
      <c r="L60" s="446"/>
      <c r="M60" s="446"/>
      <c r="N60" s="446"/>
      <c r="O60" s="446"/>
      <c r="P60" s="446"/>
      <c r="Q60" s="446"/>
      <c r="R60" s="446"/>
      <c r="S60" s="446"/>
      <c r="T60" s="446"/>
      <c r="U60" s="446"/>
      <c r="V60" s="446"/>
      <c r="W60" s="446"/>
      <c r="X60" s="446"/>
      <c r="Y60" s="446"/>
      <c r="Z60" s="446"/>
      <c r="AA60" s="447"/>
      <c r="AB60" s="147"/>
    </row>
    <row r="61" spans="8:28" ht="15.75" thickBot="1" x14ac:dyDescent="0.3">
      <c r="K61" s="194"/>
      <c r="L61" s="194"/>
      <c r="M61" s="194"/>
      <c r="N61" s="194"/>
      <c r="O61" s="194"/>
      <c r="P61" s="194"/>
      <c r="Q61" s="194"/>
      <c r="R61" s="194"/>
      <c r="S61" s="194"/>
      <c r="T61" s="194"/>
      <c r="U61" s="194"/>
      <c r="V61" s="194"/>
      <c r="W61" s="194"/>
      <c r="X61" s="194"/>
      <c r="Y61" s="194"/>
      <c r="Z61" s="194"/>
      <c r="AA61" s="194"/>
    </row>
    <row r="62" spans="8:28" ht="15.75" thickBot="1" x14ac:dyDescent="0.3">
      <c r="K62" s="450" t="s">
        <v>172</v>
      </c>
      <c r="L62" s="451"/>
      <c r="M62" s="451"/>
      <c r="N62" s="451"/>
      <c r="O62" s="451"/>
      <c r="P62" s="451"/>
      <c r="Q62" s="451"/>
      <c r="R62" s="451"/>
      <c r="S62" s="451"/>
      <c r="T62" s="451"/>
      <c r="U62" s="451"/>
      <c r="V62" s="451"/>
      <c r="W62" s="451"/>
      <c r="X62" s="451"/>
      <c r="Y62" s="451"/>
      <c r="Z62" s="451"/>
      <c r="AA62" s="452"/>
      <c r="AB62" s="61"/>
    </row>
    <row r="63" spans="8:28" x14ac:dyDescent="0.25">
      <c r="K63" s="140" t="s">
        <v>144</v>
      </c>
      <c r="L63" s="141">
        <f>total_isp</f>
        <v>20</v>
      </c>
      <c r="M63" s="448"/>
      <c r="N63" s="448"/>
      <c r="O63" s="448"/>
      <c r="P63" s="448"/>
      <c r="Q63" s="448"/>
      <c r="R63" s="448"/>
      <c r="S63" s="448"/>
      <c r="T63" s="448"/>
      <c r="U63" s="448"/>
      <c r="V63" s="448"/>
      <c r="W63" s="448"/>
      <c r="X63" s="448"/>
      <c r="Y63" s="448"/>
      <c r="Z63" s="448"/>
      <c r="AA63" s="449"/>
      <c r="AB63" s="147"/>
    </row>
    <row r="64" spans="8:28" x14ac:dyDescent="0.25">
      <c r="K64" s="442" t="s">
        <v>383</v>
      </c>
      <c r="L64" s="443"/>
      <c r="M64" s="443"/>
      <c r="N64" s="443"/>
      <c r="O64" s="443"/>
      <c r="P64" s="443"/>
      <c r="Q64" s="443"/>
      <c r="R64" s="443"/>
      <c r="S64" s="443"/>
      <c r="T64" s="443"/>
      <c r="U64" s="443"/>
      <c r="V64" s="443"/>
      <c r="W64" s="443"/>
      <c r="X64" s="443"/>
      <c r="Y64" s="443"/>
      <c r="Z64" s="443"/>
      <c r="AA64" s="444"/>
      <c r="AB64" s="147"/>
    </row>
    <row r="65" spans="1:28" x14ac:dyDescent="0.25">
      <c r="K65" s="442" t="s">
        <v>384</v>
      </c>
      <c r="L65" s="443"/>
      <c r="M65" s="443"/>
      <c r="N65" s="443"/>
      <c r="O65" s="443"/>
      <c r="P65" s="443"/>
      <c r="Q65" s="443"/>
      <c r="R65" s="443"/>
      <c r="S65" s="443"/>
      <c r="T65" s="443"/>
      <c r="U65" s="443"/>
      <c r="V65" s="443"/>
      <c r="W65" s="443"/>
      <c r="X65" s="443"/>
      <c r="Y65" s="443"/>
      <c r="Z65" s="443"/>
      <c r="AA65" s="444"/>
      <c r="AB65" s="147"/>
    </row>
    <row r="66" spans="1:28" x14ac:dyDescent="0.25">
      <c r="K66" s="476" t="s">
        <v>385</v>
      </c>
      <c r="L66" s="443"/>
      <c r="M66" s="443"/>
      <c r="N66" s="443"/>
      <c r="O66" s="443"/>
      <c r="P66" s="443"/>
      <c r="Q66" s="443"/>
      <c r="R66" s="443"/>
      <c r="S66" s="443"/>
      <c r="T66" s="443"/>
      <c r="U66" s="443"/>
      <c r="V66" s="443"/>
      <c r="W66" s="443"/>
      <c r="X66" s="443"/>
      <c r="Y66" s="443"/>
      <c r="Z66" s="443"/>
      <c r="AA66" s="444"/>
      <c r="AB66" s="147"/>
    </row>
    <row r="67" spans="1:28" ht="15.75" thickBot="1" x14ac:dyDescent="0.3">
      <c r="K67" s="445" t="s">
        <v>287</v>
      </c>
      <c r="L67" s="446"/>
      <c r="M67" s="446"/>
      <c r="N67" s="446"/>
      <c r="O67" s="446"/>
      <c r="P67" s="446"/>
      <c r="Q67" s="446"/>
      <c r="R67" s="446"/>
      <c r="S67" s="446"/>
      <c r="T67" s="446"/>
      <c r="U67" s="446"/>
      <c r="V67" s="446"/>
      <c r="W67" s="446"/>
      <c r="X67" s="446"/>
      <c r="Y67" s="446"/>
      <c r="Z67" s="446"/>
      <c r="AA67" s="447"/>
      <c r="AB67" s="147"/>
    </row>
    <row r="68" spans="1:28" ht="15.75" thickBot="1" x14ac:dyDescent="0.3">
      <c r="F68" s="138"/>
      <c r="G68" s="138"/>
      <c r="H68" s="138"/>
      <c r="I68" s="138"/>
      <c r="K68" s="194"/>
      <c r="L68" s="194"/>
      <c r="M68" s="194"/>
      <c r="N68" s="194"/>
      <c r="O68" s="194"/>
      <c r="P68" s="194"/>
      <c r="Q68" s="194"/>
      <c r="R68" s="194"/>
      <c r="S68" s="194"/>
      <c r="T68" s="194"/>
      <c r="U68" s="194"/>
      <c r="V68" s="194"/>
      <c r="W68" s="194"/>
      <c r="X68" s="194"/>
      <c r="Y68" s="194"/>
      <c r="Z68" s="194"/>
      <c r="AA68" s="194"/>
    </row>
    <row r="69" spans="1:28" ht="15.75" thickBot="1" x14ac:dyDescent="0.3">
      <c r="A69" s="138"/>
      <c r="B69" s="138"/>
      <c r="C69" s="138"/>
      <c r="D69" s="138"/>
      <c r="E69" s="138"/>
      <c r="F69" s="138"/>
      <c r="G69" s="138"/>
      <c r="H69" s="138"/>
      <c r="I69" s="138"/>
      <c r="K69" s="450" t="s">
        <v>171</v>
      </c>
      <c r="L69" s="451"/>
      <c r="M69" s="451"/>
      <c r="N69" s="451"/>
      <c r="O69" s="451"/>
      <c r="P69" s="451"/>
      <c r="Q69" s="451"/>
      <c r="R69" s="451"/>
      <c r="S69" s="451"/>
      <c r="T69" s="451"/>
      <c r="U69" s="451"/>
      <c r="V69" s="451"/>
      <c r="W69" s="451"/>
      <c r="X69" s="451"/>
      <c r="Y69" s="451"/>
      <c r="Z69" s="451"/>
      <c r="AA69" s="452"/>
      <c r="AB69" s="61"/>
    </row>
    <row r="70" spans="1:28" x14ac:dyDescent="0.25">
      <c r="K70" s="140" t="s">
        <v>144</v>
      </c>
      <c r="L70" s="141">
        <f>total_isp</f>
        <v>20</v>
      </c>
      <c r="M70" s="448"/>
      <c r="N70" s="448"/>
      <c r="O70" s="448"/>
      <c r="P70" s="448"/>
      <c r="Q70" s="448"/>
      <c r="R70" s="448"/>
      <c r="S70" s="448"/>
      <c r="T70" s="448"/>
      <c r="U70" s="448"/>
      <c r="V70" s="448"/>
      <c r="W70" s="448"/>
      <c r="X70" s="448"/>
      <c r="Y70" s="448"/>
      <c r="Z70" s="448"/>
      <c r="AA70" s="449"/>
      <c r="AB70" s="147"/>
    </row>
    <row r="71" spans="1:28" x14ac:dyDescent="0.25">
      <c r="K71" s="442" t="str">
        <f>"Object Read (6): Impressions: "&amp;(calc_lev-1)*2+56&amp;"%. Images: "&amp;(calc_lev-1)*2+48&amp;"%. Present (+4): "&amp;(calc_lev-1)*2+38&amp;"%, requires a successful Impression or Image."</f>
        <v>Object Read (6): Impressions: 56%. Images: 48%. Present (+4): 38%, requires a successful Impression or Image.</v>
      </c>
      <c r="L71" s="443"/>
      <c r="M71" s="443"/>
      <c r="N71" s="443"/>
      <c r="O71" s="443"/>
      <c r="P71" s="443"/>
      <c r="Q71" s="443"/>
      <c r="R71" s="443"/>
      <c r="S71" s="443"/>
      <c r="T71" s="443"/>
      <c r="U71" s="443"/>
      <c r="V71" s="443"/>
      <c r="W71" s="443"/>
      <c r="X71" s="443"/>
      <c r="Y71" s="443"/>
      <c r="Z71" s="443"/>
      <c r="AA71" s="444"/>
      <c r="AB71" s="147"/>
    </row>
    <row r="72" spans="1:28" x14ac:dyDescent="0.25">
      <c r="K72" s="442" t="s">
        <v>386</v>
      </c>
      <c r="L72" s="443"/>
      <c r="M72" s="443"/>
      <c r="N72" s="443"/>
      <c r="O72" s="443"/>
      <c r="P72" s="443"/>
      <c r="Q72" s="443"/>
      <c r="R72" s="443"/>
      <c r="S72" s="443"/>
      <c r="T72" s="443"/>
      <c r="U72" s="443"/>
      <c r="V72" s="443"/>
      <c r="W72" s="443"/>
      <c r="X72" s="443"/>
      <c r="Y72" s="443"/>
      <c r="Z72" s="443"/>
      <c r="AA72" s="444"/>
      <c r="AB72" s="147"/>
    </row>
    <row r="73" spans="1:28" x14ac:dyDescent="0.25">
      <c r="K73" s="442"/>
      <c r="L73" s="443"/>
      <c r="M73" s="443"/>
      <c r="N73" s="443"/>
      <c r="O73" s="443"/>
      <c r="P73" s="443"/>
      <c r="Q73" s="443"/>
      <c r="R73" s="443"/>
      <c r="S73" s="443"/>
      <c r="T73" s="443"/>
      <c r="U73" s="443"/>
      <c r="V73" s="443"/>
      <c r="W73" s="443"/>
      <c r="X73" s="443"/>
      <c r="Y73" s="443"/>
      <c r="Z73" s="443"/>
      <c r="AA73" s="444"/>
      <c r="AB73" s="147"/>
    </row>
    <row r="74" spans="1:28" ht="15.75" thickBot="1" x14ac:dyDescent="0.3">
      <c r="K74" s="445" t="s">
        <v>287</v>
      </c>
      <c r="L74" s="446"/>
      <c r="M74" s="446"/>
      <c r="N74" s="446"/>
      <c r="O74" s="446"/>
      <c r="P74" s="446"/>
      <c r="Q74" s="446"/>
      <c r="R74" s="446"/>
      <c r="S74" s="446"/>
      <c r="T74" s="446"/>
      <c r="U74" s="446"/>
      <c r="V74" s="446"/>
      <c r="W74" s="446"/>
      <c r="X74" s="446"/>
      <c r="Y74" s="446"/>
      <c r="Z74" s="446"/>
      <c r="AA74" s="447"/>
      <c r="AB74" s="147"/>
    </row>
    <row r="75" spans="1:28" ht="15.75" thickBot="1" x14ac:dyDescent="0.3">
      <c r="K75" s="194"/>
      <c r="L75" s="194"/>
      <c r="M75" s="194"/>
      <c r="N75" s="194"/>
      <c r="O75" s="194"/>
      <c r="P75" s="194"/>
      <c r="Q75" s="194"/>
      <c r="R75" s="194"/>
      <c r="S75" s="194"/>
      <c r="T75" s="194"/>
      <c r="U75" s="194"/>
      <c r="V75" s="194"/>
      <c r="W75" s="194"/>
      <c r="X75" s="194"/>
      <c r="Y75" s="194"/>
      <c r="Z75" s="194"/>
      <c r="AA75" s="194"/>
    </row>
    <row r="76" spans="1:28" ht="15.75" thickBot="1" x14ac:dyDescent="0.3">
      <c r="K76" s="450" t="s">
        <v>362</v>
      </c>
      <c r="L76" s="451"/>
      <c r="M76" s="451"/>
      <c r="N76" s="451"/>
      <c r="O76" s="451"/>
      <c r="P76" s="451"/>
      <c r="Q76" s="451"/>
      <c r="R76" s="451"/>
      <c r="S76" s="451"/>
      <c r="T76" s="451"/>
      <c r="U76" s="451"/>
      <c r="V76" s="451"/>
      <c r="W76" s="451"/>
      <c r="X76" s="451"/>
      <c r="Y76" s="451"/>
      <c r="Z76" s="451"/>
      <c r="AA76" s="452"/>
      <c r="AB76" s="61"/>
    </row>
    <row r="77" spans="1:28" x14ac:dyDescent="0.25">
      <c r="K77" s="472" t="str">
        <f>"P.P.E.: "&amp;total_ppe</f>
        <v>P.P.E.: 10</v>
      </c>
      <c r="L77" s="473"/>
      <c r="M77" s="473"/>
      <c r="N77" s="473"/>
      <c r="O77" s="473"/>
      <c r="P77" s="473"/>
      <c r="Q77" s="473"/>
      <c r="R77" s="473"/>
      <c r="S77" s="473"/>
      <c r="T77" s="473"/>
      <c r="U77" s="473"/>
      <c r="V77" s="473"/>
      <c r="W77" s="473"/>
      <c r="X77" s="473"/>
      <c r="Y77" s="473"/>
      <c r="Z77" s="473"/>
      <c r="AA77" s="474"/>
      <c r="AB77" s="147"/>
    </row>
    <row r="78" spans="1:28" x14ac:dyDescent="0.25">
      <c r="K78" s="442" t="s">
        <v>359</v>
      </c>
      <c r="L78" s="443"/>
      <c r="M78" s="443"/>
      <c r="N78" s="443"/>
      <c r="O78" s="443"/>
      <c r="P78" s="443"/>
      <c r="Q78" s="443"/>
      <c r="R78" s="443"/>
      <c r="S78" s="443"/>
      <c r="T78" s="443"/>
      <c r="U78" s="443"/>
      <c r="V78" s="443"/>
      <c r="W78" s="443"/>
      <c r="X78" s="443"/>
      <c r="Y78" s="443"/>
      <c r="Z78" s="443"/>
      <c r="AA78" s="444"/>
      <c r="AB78" s="147"/>
    </row>
    <row r="79" spans="1:28" x14ac:dyDescent="0.25">
      <c r="K79" s="442" t="s">
        <v>360</v>
      </c>
      <c r="L79" s="443"/>
      <c r="M79" s="443"/>
      <c r="N79" s="443"/>
      <c r="O79" s="443"/>
      <c r="P79" s="443"/>
      <c r="Q79" s="443"/>
      <c r="R79" s="443"/>
      <c r="S79" s="443"/>
      <c r="T79" s="443"/>
      <c r="U79" s="443"/>
      <c r="V79" s="443"/>
      <c r="W79" s="443"/>
      <c r="X79" s="443"/>
      <c r="Y79" s="443"/>
      <c r="Z79" s="443"/>
      <c r="AA79" s="444"/>
      <c r="AB79" s="147"/>
    </row>
    <row r="80" spans="1:28" x14ac:dyDescent="0.25">
      <c r="K80" s="442" t="s">
        <v>361</v>
      </c>
      <c r="L80" s="443"/>
      <c r="M80" s="443"/>
      <c r="N80" s="443"/>
      <c r="O80" s="443"/>
      <c r="P80" s="443"/>
      <c r="Q80" s="443"/>
      <c r="R80" s="443"/>
      <c r="S80" s="443"/>
      <c r="T80" s="443"/>
      <c r="U80" s="443"/>
      <c r="V80" s="443"/>
      <c r="W80" s="443"/>
      <c r="X80" s="443"/>
      <c r="Y80" s="443"/>
      <c r="Z80" s="443"/>
      <c r="AA80" s="444"/>
      <c r="AB80" s="147"/>
    </row>
    <row r="81" spans="1:28" ht="15.75" thickBot="1" x14ac:dyDescent="0.3">
      <c r="K81" s="445" t="str">
        <f>"Stick Fighting Bonuses: "&amp;H10&amp;": "&amp;total_attack+1&amp;" Attacks, +"&amp;total_parry+VLOOKUP(main_weapon, weapon_ref, 9, FALSE)+ROUNDDOWN(calc_lev/4, 0)&amp;" to Parry. "&amp;H15&amp;": "&amp;total_attack+1&amp;" Attacks, +"&amp;total_parry+VLOOKUP(alt_weapon, weapon_ref, 9, FALSE)+ROUNDDOWN(calc_lev/4, 0)&amp;" to Parry."</f>
        <v>Stick Fighting Bonuses: Staff: 5 Attacks, +1 to Parry. Spear: 5 Attacks, +1 to Parry.</v>
      </c>
      <c r="L81" s="446"/>
      <c r="M81" s="446"/>
      <c r="N81" s="446"/>
      <c r="O81" s="446"/>
      <c r="P81" s="446"/>
      <c r="Q81" s="446"/>
      <c r="R81" s="446"/>
      <c r="S81" s="446"/>
      <c r="T81" s="446"/>
      <c r="U81" s="446"/>
      <c r="V81" s="446"/>
      <c r="W81" s="446"/>
      <c r="X81" s="446"/>
      <c r="Y81" s="446"/>
      <c r="Z81" s="446"/>
      <c r="AA81" s="447"/>
      <c r="AB81" s="147"/>
    </row>
    <row r="82" spans="1:28" ht="15.75" thickBot="1" x14ac:dyDescent="0.3">
      <c r="K82" s="194"/>
      <c r="L82" s="194"/>
      <c r="M82" s="194"/>
      <c r="N82" s="194"/>
      <c r="O82" s="194"/>
      <c r="P82" s="194"/>
      <c r="Q82" s="194"/>
      <c r="R82" s="194"/>
      <c r="S82" s="194"/>
      <c r="T82" s="194"/>
      <c r="U82" s="194"/>
      <c r="V82" s="194"/>
      <c r="W82" s="194"/>
      <c r="X82" s="194"/>
      <c r="Y82" s="194"/>
      <c r="Z82" s="194"/>
      <c r="AA82" s="194"/>
    </row>
    <row r="83" spans="1:28" ht="15.75" thickBot="1" x14ac:dyDescent="0.3">
      <c r="K83" s="450"/>
      <c r="L83" s="451"/>
      <c r="M83" s="451"/>
      <c r="N83" s="451"/>
      <c r="O83" s="451"/>
      <c r="P83" s="451"/>
      <c r="Q83" s="451"/>
      <c r="R83" s="451"/>
      <c r="S83" s="451"/>
      <c r="T83" s="451"/>
      <c r="U83" s="451"/>
      <c r="V83" s="451"/>
      <c r="W83" s="451"/>
      <c r="X83" s="451"/>
      <c r="Y83" s="451"/>
      <c r="Z83" s="451"/>
      <c r="AA83" s="452"/>
      <c r="AB83" s="61"/>
    </row>
    <row r="84" spans="1:28" x14ac:dyDescent="0.25">
      <c r="K84" s="453"/>
      <c r="L84" s="454"/>
      <c r="M84" s="454"/>
      <c r="N84" s="454"/>
      <c r="O84" s="454"/>
      <c r="P84" s="454"/>
      <c r="Q84" s="454"/>
      <c r="R84" s="454"/>
      <c r="S84" s="454"/>
      <c r="T84" s="454"/>
      <c r="U84" s="454"/>
      <c r="V84" s="454"/>
      <c r="W84" s="454"/>
      <c r="X84" s="454"/>
      <c r="Y84" s="454"/>
      <c r="Z84" s="454"/>
      <c r="AA84" s="455"/>
      <c r="AB84" s="147"/>
    </row>
    <row r="85" spans="1:28" x14ac:dyDescent="0.25">
      <c r="K85" s="442"/>
      <c r="L85" s="443"/>
      <c r="M85" s="443"/>
      <c r="N85" s="443"/>
      <c r="O85" s="443"/>
      <c r="P85" s="443"/>
      <c r="Q85" s="443"/>
      <c r="R85" s="443"/>
      <c r="S85" s="443"/>
      <c r="T85" s="443"/>
      <c r="U85" s="443"/>
      <c r="V85" s="443"/>
      <c r="W85" s="443"/>
      <c r="X85" s="443"/>
      <c r="Y85" s="443"/>
      <c r="Z85" s="443"/>
      <c r="AA85" s="444"/>
      <c r="AB85" s="147"/>
    </row>
    <row r="86" spans="1:28" x14ac:dyDescent="0.25">
      <c r="K86" s="442"/>
      <c r="L86" s="443"/>
      <c r="M86" s="443"/>
      <c r="N86" s="443"/>
      <c r="O86" s="443"/>
      <c r="P86" s="443"/>
      <c r="Q86" s="443"/>
      <c r="R86" s="443"/>
      <c r="S86" s="443"/>
      <c r="T86" s="443"/>
      <c r="U86" s="443"/>
      <c r="V86" s="443"/>
      <c r="W86" s="443"/>
      <c r="X86" s="443"/>
      <c r="Y86" s="443"/>
      <c r="Z86" s="443"/>
      <c r="AA86" s="444"/>
      <c r="AB86" s="147"/>
    </row>
    <row r="87" spans="1:28" x14ac:dyDescent="0.25">
      <c r="K87" s="442"/>
      <c r="L87" s="443"/>
      <c r="M87" s="443"/>
      <c r="N87" s="443"/>
      <c r="O87" s="443"/>
      <c r="P87" s="443"/>
      <c r="Q87" s="443"/>
      <c r="R87" s="443"/>
      <c r="S87" s="443"/>
      <c r="T87" s="443"/>
      <c r="U87" s="443"/>
      <c r="V87" s="443"/>
      <c r="W87" s="443"/>
      <c r="X87" s="443"/>
      <c r="Y87" s="443"/>
      <c r="Z87" s="443"/>
      <c r="AA87" s="444"/>
      <c r="AB87" s="147"/>
    </row>
    <row r="88" spans="1:28" ht="15.75" thickBot="1" x14ac:dyDescent="0.3">
      <c r="K88" s="445"/>
      <c r="L88" s="446"/>
      <c r="M88" s="446"/>
      <c r="N88" s="446"/>
      <c r="O88" s="446"/>
      <c r="P88" s="446"/>
      <c r="Q88" s="446"/>
      <c r="R88" s="446"/>
      <c r="S88" s="446"/>
      <c r="T88" s="446"/>
      <c r="U88" s="446"/>
      <c r="V88" s="446"/>
      <c r="W88" s="446"/>
      <c r="X88" s="446"/>
      <c r="Y88" s="446"/>
      <c r="Z88" s="446"/>
      <c r="AA88" s="447"/>
      <c r="AB88" s="147"/>
    </row>
    <row r="89" spans="1:28" ht="15.75" thickBot="1" x14ac:dyDescent="0.3">
      <c r="K89" s="194"/>
      <c r="L89" s="194"/>
      <c r="M89" s="194"/>
      <c r="N89" s="194"/>
      <c r="O89" s="194"/>
      <c r="P89" s="194"/>
      <c r="Q89" s="194"/>
      <c r="R89" s="194"/>
      <c r="S89" s="194"/>
      <c r="T89" s="194"/>
      <c r="U89" s="194"/>
      <c r="V89" s="194"/>
      <c r="W89" s="194"/>
      <c r="X89" s="194"/>
      <c r="Y89" s="194"/>
      <c r="Z89" s="194"/>
      <c r="AA89" s="194"/>
    </row>
    <row r="90" spans="1:28" ht="15.75" thickBot="1" x14ac:dyDescent="0.3">
      <c r="K90" s="450"/>
      <c r="L90" s="451"/>
      <c r="M90" s="451"/>
      <c r="N90" s="451"/>
      <c r="O90" s="451"/>
      <c r="P90" s="451"/>
      <c r="Q90" s="451"/>
      <c r="R90" s="451"/>
      <c r="S90" s="451"/>
      <c r="T90" s="451"/>
      <c r="U90" s="451"/>
      <c r="V90" s="451"/>
      <c r="W90" s="451"/>
      <c r="X90" s="451"/>
      <c r="Y90" s="451"/>
      <c r="Z90" s="451"/>
      <c r="AA90" s="452"/>
      <c r="AB90" s="61"/>
    </row>
    <row r="91" spans="1:28" x14ac:dyDescent="0.25">
      <c r="K91" s="453"/>
      <c r="L91" s="454"/>
      <c r="M91" s="454"/>
      <c r="N91" s="454"/>
      <c r="O91" s="454"/>
      <c r="P91" s="454"/>
      <c r="Q91" s="454"/>
      <c r="R91" s="454"/>
      <c r="S91" s="454"/>
      <c r="T91" s="454"/>
      <c r="U91" s="454"/>
      <c r="V91" s="454"/>
      <c r="W91" s="454"/>
      <c r="X91" s="454"/>
      <c r="Y91" s="454"/>
      <c r="Z91" s="454"/>
      <c r="AA91" s="455"/>
      <c r="AB91" s="147"/>
    </row>
    <row r="92" spans="1:28" x14ac:dyDescent="0.25">
      <c r="K92" s="442"/>
      <c r="L92" s="443"/>
      <c r="M92" s="443"/>
      <c r="N92" s="443"/>
      <c r="O92" s="443"/>
      <c r="P92" s="443"/>
      <c r="Q92" s="443"/>
      <c r="R92" s="443"/>
      <c r="S92" s="443"/>
      <c r="T92" s="443"/>
      <c r="U92" s="443"/>
      <c r="V92" s="443"/>
      <c r="W92" s="443"/>
      <c r="X92" s="443"/>
      <c r="Y92" s="443"/>
      <c r="Z92" s="443"/>
      <c r="AA92" s="444"/>
      <c r="AB92" s="147"/>
    </row>
    <row r="93" spans="1:28" x14ac:dyDescent="0.25">
      <c r="K93" s="442"/>
      <c r="L93" s="443"/>
      <c r="M93" s="443"/>
      <c r="N93" s="443"/>
      <c r="O93" s="443"/>
      <c r="P93" s="443"/>
      <c r="Q93" s="443"/>
      <c r="R93" s="443"/>
      <c r="S93" s="443"/>
      <c r="T93" s="443"/>
      <c r="U93" s="443"/>
      <c r="V93" s="443"/>
      <c r="W93" s="443"/>
      <c r="X93" s="443"/>
      <c r="Y93" s="443"/>
      <c r="Z93" s="443"/>
      <c r="AA93" s="444"/>
      <c r="AB93" s="147"/>
    </row>
    <row r="94" spans="1:28" x14ac:dyDescent="0.25">
      <c r="K94" s="442"/>
      <c r="L94" s="443"/>
      <c r="M94" s="443"/>
      <c r="N94" s="443"/>
      <c r="O94" s="443"/>
      <c r="P94" s="443"/>
      <c r="Q94" s="443"/>
      <c r="R94" s="443"/>
      <c r="S94" s="443"/>
      <c r="T94" s="443"/>
      <c r="U94" s="443"/>
      <c r="V94" s="443"/>
      <c r="W94" s="443"/>
      <c r="X94" s="443"/>
      <c r="Y94" s="443"/>
      <c r="Z94" s="443"/>
      <c r="AA94" s="444"/>
      <c r="AB94" s="147"/>
    </row>
    <row r="95" spans="1:28" ht="15.75" thickBot="1" x14ac:dyDescent="0.3">
      <c r="A95" s="138"/>
      <c r="B95" s="138"/>
      <c r="C95" s="138"/>
      <c r="D95" s="138"/>
      <c r="E95" s="138"/>
      <c r="F95" s="138"/>
      <c r="G95" s="138"/>
      <c r="H95" s="138"/>
      <c r="I95" s="138"/>
      <c r="K95" s="445"/>
      <c r="L95" s="446"/>
      <c r="M95" s="446"/>
      <c r="N95" s="446"/>
      <c r="O95" s="446"/>
      <c r="P95" s="446"/>
      <c r="Q95" s="446"/>
      <c r="R95" s="446"/>
      <c r="S95" s="446"/>
      <c r="T95" s="446"/>
      <c r="U95" s="446"/>
      <c r="V95" s="446"/>
      <c r="W95" s="446"/>
      <c r="X95" s="446"/>
      <c r="Y95" s="446"/>
      <c r="Z95" s="446"/>
      <c r="AA95" s="447"/>
      <c r="AB95" s="147"/>
    </row>
    <row r="96" spans="1:28" x14ac:dyDescent="0.25">
      <c r="A96" s="138"/>
      <c r="B96" s="138"/>
      <c r="C96" s="138"/>
      <c r="D96" s="138"/>
      <c r="E96" s="138"/>
      <c r="F96" s="138"/>
      <c r="G96" s="138"/>
      <c r="H96" s="138"/>
      <c r="I96" s="138"/>
    </row>
    <row r="97" spans="1:9" x14ac:dyDescent="0.25">
      <c r="A97" s="138"/>
      <c r="B97" s="138"/>
      <c r="C97" s="138"/>
      <c r="D97" s="138"/>
      <c r="E97" s="138"/>
      <c r="F97" s="138"/>
      <c r="G97" s="138"/>
      <c r="H97" s="138"/>
      <c r="I97" s="138"/>
    </row>
    <row r="98" spans="1:9" x14ac:dyDescent="0.25">
      <c r="A98" s="138"/>
      <c r="B98" s="138"/>
      <c r="C98" s="138"/>
      <c r="D98" s="138"/>
      <c r="E98" s="138"/>
      <c r="F98" s="138"/>
      <c r="G98" s="138"/>
      <c r="H98" s="138"/>
      <c r="I98" s="138"/>
    </row>
    <row r="99" spans="1:9" x14ac:dyDescent="0.25">
      <c r="A99" s="138"/>
      <c r="B99" s="138"/>
      <c r="C99" s="138"/>
      <c r="D99" s="138"/>
      <c r="E99" s="138"/>
      <c r="F99" s="138"/>
      <c r="G99" s="138"/>
      <c r="H99" s="138"/>
      <c r="I99" s="138"/>
    </row>
    <row r="100" spans="1:9" x14ac:dyDescent="0.25">
      <c r="A100" s="138"/>
      <c r="B100" s="138"/>
      <c r="C100" s="138"/>
      <c r="D100" s="138"/>
      <c r="E100" s="138"/>
      <c r="F100" s="138"/>
      <c r="G100" s="138"/>
      <c r="H100" s="138"/>
      <c r="I100" s="138"/>
    </row>
    <row r="101" spans="1:9" x14ac:dyDescent="0.25">
      <c r="A101" s="138"/>
      <c r="B101" s="138"/>
      <c r="C101" s="138"/>
      <c r="D101" s="138"/>
      <c r="E101" s="138"/>
      <c r="F101" s="138"/>
      <c r="G101" s="138"/>
      <c r="H101" s="138"/>
      <c r="I101" s="138"/>
    </row>
    <row r="102" spans="1:9" x14ac:dyDescent="0.25">
      <c r="A102" s="138"/>
      <c r="B102" s="138"/>
      <c r="C102" s="138"/>
      <c r="D102" s="138"/>
      <c r="E102" s="138"/>
      <c r="F102" s="138"/>
      <c r="G102" s="138"/>
      <c r="H102" s="138"/>
      <c r="I102" s="138"/>
    </row>
    <row r="103" spans="1:9" x14ac:dyDescent="0.25">
      <c r="A103" s="138"/>
      <c r="B103" s="138"/>
      <c r="C103" s="138"/>
      <c r="D103" s="138"/>
      <c r="E103" s="138"/>
      <c r="F103" s="138"/>
      <c r="G103" s="138"/>
      <c r="H103" s="138"/>
      <c r="I103" s="138"/>
    </row>
    <row r="104" spans="1:9" x14ac:dyDescent="0.25">
      <c r="A104" s="138"/>
      <c r="B104" s="138"/>
      <c r="C104" s="138"/>
      <c r="D104" s="138"/>
      <c r="E104" s="138"/>
      <c r="F104" s="138"/>
      <c r="G104" s="138"/>
      <c r="H104" s="138"/>
      <c r="I104" s="138"/>
    </row>
    <row r="105" spans="1:9" x14ac:dyDescent="0.25">
      <c r="A105" s="138"/>
      <c r="B105" s="138"/>
      <c r="C105" s="138"/>
      <c r="D105" s="138"/>
      <c r="E105" s="138"/>
      <c r="F105" s="138"/>
      <c r="G105" s="138"/>
      <c r="H105" s="138"/>
      <c r="I105" s="138"/>
    </row>
    <row r="106" spans="1:9" x14ac:dyDescent="0.25">
      <c r="A106" s="137"/>
      <c r="B106" s="137"/>
      <c r="C106" s="137"/>
      <c r="D106" s="137"/>
      <c r="E106" s="138"/>
      <c r="F106" s="137"/>
      <c r="G106" s="137"/>
      <c r="H106" s="137"/>
      <c r="I106" s="137"/>
    </row>
    <row r="107" spans="1:9" x14ac:dyDescent="0.25">
      <c r="A107" s="138"/>
      <c r="B107" s="138"/>
      <c r="C107" s="138"/>
      <c r="D107" s="138"/>
      <c r="E107" s="138"/>
      <c r="F107" s="138"/>
      <c r="G107" s="138"/>
      <c r="H107" s="138"/>
      <c r="I107" s="138"/>
    </row>
    <row r="108" spans="1:9" x14ac:dyDescent="0.25">
      <c r="A108" s="138"/>
      <c r="B108" s="138"/>
      <c r="C108" s="138"/>
      <c r="D108" s="138"/>
      <c r="E108" s="138"/>
      <c r="F108" s="138"/>
      <c r="G108" s="138"/>
      <c r="H108" s="138"/>
      <c r="I108" s="138"/>
    </row>
    <row r="109" spans="1:9" x14ac:dyDescent="0.25">
      <c r="A109" s="138"/>
      <c r="B109" s="138"/>
      <c r="C109" s="138"/>
      <c r="D109" s="138"/>
      <c r="E109" s="138"/>
      <c r="F109" s="138"/>
      <c r="G109" s="138"/>
      <c r="H109" s="138"/>
      <c r="I109" s="138"/>
    </row>
    <row r="110" spans="1:9" x14ac:dyDescent="0.25">
      <c r="A110" s="138"/>
      <c r="B110" s="138"/>
      <c r="C110" s="138"/>
      <c r="D110" s="138"/>
      <c r="E110" s="138"/>
      <c r="F110" s="138"/>
      <c r="G110" s="138"/>
      <c r="H110" s="138"/>
      <c r="I110" s="138"/>
    </row>
    <row r="111" spans="1:9" x14ac:dyDescent="0.25">
      <c r="A111" s="138"/>
      <c r="B111" s="138"/>
      <c r="C111" s="138"/>
      <c r="D111" s="138"/>
      <c r="E111" s="138"/>
      <c r="F111" s="138"/>
      <c r="G111" s="138"/>
      <c r="H111" s="138"/>
      <c r="I111" s="138"/>
    </row>
    <row r="112" spans="1:9" x14ac:dyDescent="0.25">
      <c r="A112" s="138"/>
      <c r="B112" s="138"/>
      <c r="C112" s="138"/>
      <c r="D112" s="138"/>
      <c r="E112" s="138"/>
      <c r="F112" s="138"/>
      <c r="G112" s="138"/>
      <c r="H112" s="138"/>
      <c r="I112" s="138"/>
    </row>
    <row r="113" spans="1:9" x14ac:dyDescent="0.25">
      <c r="A113" s="138"/>
      <c r="B113" s="138"/>
      <c r="C113" s="138"/>
      <c r="D113" s="138"/>
      <c r="E113" s="138"/>
      <c r="F113" s="138"/>
      <c r="G113" s="138"/>
      <c r="H113" s="138"/>
      <c r="I113" s="138"/>
    </row>
    <row r="114" spans="1:9" x14ac:dyDescent="0.25">
      <c r="A114" s="138"/>
      <c r="B114" s="138"/>
      <c r="C114" s="138"/>
      <c r="D114" s="138"/>
      <c r="E114" s="138"/>
      <c r="F114" s="138"/>
      <c r="G114" s="138"/>
      <c r="H114" s="138"/>
      <c r="I114" s="138"/>
    </row>
    <row r="115" spans="1:9" x14ac:dyDescent="0.25">
      <c r="A115" s="138"/>
      <c r="B115" s="138"/>
      <c r="C115" s="138"/>
      <c r="D115" s="138"/>
      <c r="E115" s="138"/>
      <c r="F115" s="138"/>
      <c r="G115" s="138"/>
      <c r="H115" s="138"/>
      <c r="I115" s="138"/>
    </row>
    <row r="116" spans="1:9" x14ac:dyDescent="0.25">
      <c r="A116" s="138"/>
      <c r="B116" s="138"/>
      <c r="C116" s="138"/>
      <c r="D116" s="138"/>
      <c r="E116" s="138"/>
      <c r="F116" s="138"/>
      <c r="G116" s="138"/>
      <c r="H116" s="138"/>
      <c r="I116" s="138"/>
    </row>
    <row r="117" spans="1:9" x14ac:dyDescent="0.25">
      <c r="A117" s="138"/>
      <c r="B117" s="138"/>
      <c r="C117" s="138"/>
      <c r="D117" s="138"/>
      <c r="E117" s="138"/>
      <c r="F117" s="138"/>
      <c r="G117" s="138"/>
      <c r="H117" s="138"/>
      <c r="I117" s="138"/>
    </row>
    <row r="118" spans="1:9" x14ac:dyDescent="0.25">
      <c r="A118" s="138"/>
      <c r="B118" s="138"/>
      <c r="C118" s="138"/>
      <c r="D118" s="138"/>
      <c r="E118" s="138"/>
      <c r="F118" s="138"/>
      <c r="G118" s="138"/>
      <c r="H118" s="138"/>
      <c r="I118" s="138"/>
    </row>
    <row r="119" spans="1:9" x14ac:dyDescent="0.25">
      <c r="A119" s="138"/>
      <c r="B119" s="138"/>
      <c r="C119" s="138"/>
      <c r="D119" s="138"/>
      <c r="E119" s="138"/>
      <c r="F119" s="138"/>
      <c r="G119" s="138"/>
      <c r="H119" s="138"/>
      <c r="I119" s="138"/>
    </row>
    <row r="120" spans="1:9" x14ac:dyDescent="0.25">
      <c r="A120" s="138"/>
      <c r="B120" s="138"/>
      <c r="C120" s="138"/>
      <c r="D120" s="138"/>
      <c r="E120" s="138"/>
      <c r="F120" s="138"/>
      <c r="G120" s="138"/>
      <c r="H120" s="138"/>
      <c r="I120" s="138"/>
    </row>
    <row r="121" spans="1:9" x14ac:dyDescent="0.25">
      <c r="A121" s="138"/>
      <c r="B121" s="138"/>
      <c r="C121" s="138"/>
      <c r="D121" s="138"/>
      <c r="E121" s="138"/>
      <c r="F121" s="138"/>
      <c r="G121" s="138"/>
      <c r="H121" s="138"/>
      <c r="I121" s="138"/>
    </row>
    <row r="122" spans="1:9" x14ac:dyDescent="0.25">
      <c r="A122" s="138"/>
      <c r="B122" s="138"/>
      <c r="C122" s="138"/>
      <c r="D122" s="138"/>
      <c r="E122" s="138"/>
      <c r="F122" s="138"/>
      <c r="G122" s="138"/>
      <c r="H122" s="138"/>
      <c r="I122" s="138"/>
    </row>
    <row r="123" spans="1:9" x14ac:dyDescent="0.25">
      <c r="A123" s="138"/>
      <c r="B123" s="138"/>
      <c r="C123" s="138"/>
      <c r="D123" s="138"/>
      <c r="E123" s="138"/>
      <c r="F123" s="138"/>
      <c r="G123" s="138"/>
      <c r="H123" s="138"/>
      <c r="I123" s="138"/>
    </row>
    <row r="124" spans="1:9" x14ac:dyDescent="0.25">
      <c r="A124" s="137"/>
      <c r="B124" s="137"/>
      <c r="C124" s="137"/>
      <c r="D124" s="137"/>
      <c r="E124" s="138"/>
      <c r="F124" s="137"/>
      <c r="G124" s="137"/>
      <c r="H124" s="137"/>
      <c r="I124" s="137"/>
    </row>
    <row r="125" spans="1:9" x14ac:dyDescent="0.25">
      <c r="A125" s="138"/>
      <c r="B125" s="138"/>
      <c r="C125" s="138"/>
      <c r="D125" s="138"/>
      <c r="E125" s="138"/>
      <c r="F125" s="138"/>
      <c r="G125" s="138"/>
      <c r="H125" s="138"/>
      <c r="I125" s="138"/>
    </row>
    <row r="126" spans="1:9" x14ac:dyDescent="0.25">
      <c r="A126" s="138"/>
      <c r="B126" s="138"/>
      <c r="C126" s="138"/>
      <c r="D126" s="138"/>
      <c r="E126" s="138"/>
      <c r="F126" s="138"/>
      <c r="G126" s="138"/>
      <c r="H126" s="138"/>
      <c r="I126" s="138"/>
    </row>
    <row r="127" spans="1:9" x14ac:dyDescent="0.25">
      <c r="A127" s="138"/>
      <c r="B127" s="138"/>
      <c r="C127" s="138"/>
      <c r="D127" s="138"/>
      <c r="E127" s="138"/>
      <c r="F127" s="138"/>
      <c r="G127" s="138"/>
      <c r="H127" s="138"/>
      <c r="I127" s="138"/>
    </row>
    <row r="128" spans="1:9" x14ac:dyDescent="0.25">
      <c r="A128" s="138"/>
      <c r="B128" s="138"/>
      <c r="C128" s="138"/>
      <c r="D128" s="138"/>
      <c r="E128" s="138"/>
      <c r="F128" s="138"/>
      <c r="G128" s="138"/>
      <c r="H128" s="138"/>
      <c r="I128" s="138"/>
    </row>
    <row r="129" spans="1:9" x14ac:dyDescent="0.25">
      <c r="A129" s="138"/>
      <c r="B129" s="138"/>
      <c r="C129" s="138"/>
      <c r="D129" s="138"/>
      <c r="E129" s="138"/>
      <c r="F129" s="138"/>
      <c r="G129" s="138"/>
      <c r="H129" s="138"/>
      <c r="I129" s="138"/>
    </row>
    <row r="130" spans="1:9" x14ac:dyDescent="0.25">
      <c r="A130" s="138"/>
      <c r="B130" s="138"/>
      <c r="C130" s="138"/>
      <c r="D130" s="138"/>
      <c r="E130" s="138"/>
      <c r="F130" s="138"/>
      <c r="G130" s="138"/>
      <c r="H130" s="138"/>
      <c r="I130" s="138"/>
    </row>
    <row r="131" spans="1:9" x14ac:dyDescent="0.25">
      <c r="A131" s="138"/>
      <c r="B131" s="138"/>
      <c r="C131" s="138"/>
      <c r="D131" s="138"/>
      <c r="E131" s="138"/>
      <c r="F131" s="138"/>
      <c r="G131" s="138"/>
      <c r="H131" s="138"/>
      <c r="I131" s="138"/>
    </row>
    <row r="132" spans="1:9" x14ac:dyDescent="0.25">
      <c r="A132" s="138"/>
      <c r="B132" s="138"/>
      <c r="C132" s="138"/>
      <c r="D132" s="138"/>
      <c r="E132" s="138"/>
      <c r="F132" s="138"/>
      <c r="G132" s="138"/>
      <c r="H132" s="138"/>
      <c r="I132" s="138"/>
    </row>
    <row r="133" spans="1:9" x14ac:dyDescent="0.25">
      <c r="A133" s="138"/>
      <c r="B133" s="138"/>
      <c r="C133" s="138"/>
      <c r="D133" s="138"/>
      <c r="E133" s="138"/>
      <c r="F133" s="138"/>
      <c r="G133" s="138"/>
      <c r="H133" s="138"/>
      <c r="I133" s="138"/>
    </row>
    <row r="134" spans="1:9" x14ac:dyDescent="0.25">
      <c r="A134" s="138"/>
      <c r="B134" s="138"/>
      <c r="C134" s="138"/>
      <c r="D134" s="138"/>
      <c r="E134" s="138"/>
      <c r="F134" s="138"/>
      <c r="G134" s="138"/>
      <c r="H134" s="138"/>
      <c r="I134" s="138"/>
    </row>
    <row r="135" spans="1:9" x14ac:dyDescent="0.25">
      <c r="A135" s="138"/>
      <c r="B135" s="138"/>
      <c r="C135" s="138"/>
      <c r="D135" s="138"/>
      <c r="E135" s="138"/>
      <c r="F135" s="138"/>
      <c r="G135" s="138"/>
      <c r="H135" s="138"/>
      <c r="I135" s="138"/>
    </row>
    <row r="136" spans="1:9" x14ac:dyDescent="0.25">
      <c r="A136" s="138"/>
      <c r="B136" s="138"/>
      <c r="C136" s="138"/>
      <c r="D136" s="138"/>
      <c r="E136" s="138"/>
      <c r="F136" s="138"/>
      <c r="G136" s="138"/>
      <c r="H136" s="138"/>
      <c r="I136" s="138"/>
    </row>
    <row r="137" spans="1:9" x14ac:dyDescent="0.25">
      <c r="A137" s="138"/>
      <c r="B137" s="138"/>
      <c r="C137" s="138"/>
      <c r="D137" s="138"/>
      <c r="E137" s="138"/>
      <c r="F137" s="138"/>
      <c r="G137" s="138"/>
      <c r="H137" s="138"/>
      <c r="I137" s="138"/>
    </row>
    <row r="138" spans="1:9" x14ac:dyDescent="0.25">
      <c r="A138" s="138"/>
      <c r="B138" s="138"/>
      <c r="C138" s="138"/>
      <c r="D138" s="138"/>
      <c r="E138" s="138"/>
      <c r="F138" s="138"/>
      <c r="G138" s="138"/>
      <c r="H138" s="138"/>
      <c r="I138" s="138"/>
    </row>
    <row r="139" spans="1:9" x14ac:dyDescent="0.25">
      <c r="A139" s="138"/>
      <c r="B139" s="138"/>
      <c r="C139" s="138"/>
      <c r="D139" s="138"/>
      <c r="E139" s="138"/>
      <c r="F139" s="138"/>
      <c r="G139" s="138"/>
      <c r="H139" s="138"/>
      <c r="I139" s="138"/>
    </row>
    <row r="140" spans="1:9" x14ac:dyDescent="0.25">
      <c r="A140" s="138"/>
      <c r="B140" s="138"/>
      <c r="C140" s="138"/>
      <c r="D140" s="138"/>
      <c r="E140" s="138"/>
      <c r="F140" s="138"/>
      <c r="G140" s="138"/>
      <c r="H140" s="138"/>
      <c r="I140" s="138"/>
    </row>
    <row r="141" spans="1:9" x14ac:dyDescent="0.25">
      <c r="A141" s="138"/>
      <c r="B141" s="138"/>
      <c r="C141" s="138"/>
      <c r="D141" s="138"/>
      <c r="E141" s="138"/>
      <c r="F141" s="138"/>
      <c r="G141" s="138"/>
      <c r="H141" s="138"/>
      <c r="I141" s="138"/>
    </row>
    <row r="142" spans="1:9" x14ac:dyDescent="0.25">
      <c r="A142" s="137"/>
      <c r="B142" s="137"/>
      <c r="C142" s="137"/>
      <c r="D142" s="137"/>
      <c r="E142" s="138"/>
      <c r="F142" s="137"/>
      <c r="G142" s="137"/>
      <c r="H142" s="137"/>
      <c r="I142" s="137"/>
    </row>
    <row r="143" spans="1:9" x14ac:dyDescent="0.25">
      <c r="A143" s="138"/>
      <c r="B143" s="138"/>
      <c r="C143" s="138"/>
      <c r="D143" s="138"/>
      <c r="E143" s="138"/>
      <c r="F143" s="138"/>
      <c r="G143" s="138"/>
      <c r="H143" s="138"/>
      <c r="I143" s="138"/>
    </row>
    <row r="144" spans="1:9" x14ac:dyDescent="0.25">
      <c r="A144" s="138"/>
      <c r="B144" s="138"/>
      <c r="C144" s="138"/>
      <c r="D144" s="138"/>
      <c r="E144" s="138"/>
      <c r="F144" s="138"/>
      <c r="G144" s="138"/>
      <c r="H144" s="138"/>
      <c r="I144" s="138"/>
    </row>
    <row r="145" spans="1:9" x14ac:dyDescent="0.25">
      <c r="A145" s="138"/>
      <c r="B145" s="138"/>
      <c r="C145" s="138"/>
      <c r="D145" s="138"/>
      <c r="E145" s="138"/>
      <c r="F145" s="138"/>
      <c r="G145" s="138"/>
      <c r="H145" s="138"/>
      <c r="I145" s="138"/>
    </row>
    <row r="146" spans="1:9" x14ac:dyDescent="0.25">
      <c r="A146" s="138"/>
      <c r="B146" s="138"/>
      <c r="C146" s="138"/>
      <c r="D146" s="138"/>
      <c r="E146" s="138"/>
      <c r="F146" s="138"/>
      <c r="G146" s="138"/>
      <c r="H146" s="138"/>
      <c r="I146" s="138"/>
    </row>
    <row r="147" spans="1:9" x14ac:dyDescent="0.25">
      <c r="A147" s="138"/>
      <c r="B147" s="138"/>
      <c r="C147" s="138"/>
      <c r="D147" s="138"/>
      <c r="E147" s="138"/>
      <c r="F147" s="138"/>
      <c r="G147" s="138"/>
      <c r="H147" s="138"/>
      <c r="I147" s="138"/>
    </row>
    <row r="148" spans="1:9" x14ac:dyDescent="0.25">
      <c r="A148" s="138"/>
      <c r="B148" s="138"/>
      <c r="C148" s="138"/>
      <c r="D148" s="138"/>
      <c r="E148" s="138"/>
      <c r="F148" s="138"/>
      <c r="G148" s="138"/>
      <c r="H148" s="138"/>
      <c r="I148" s="138"/>
    </row>
    <row r="149" spans="1:9" x14ac:dyDescent="0.25">
      <c r="A149" s="138"/>
      <c r="B149" s="138"/>
      <c r="C149" s="138"/>
      <c r="D149" s="138"/>
      <c r="E149" s="138"/>
      <c r="F149" s="138"/>
      <c r="G149" s="138"/>
      <c r="H149" s="138"/>
      <c r="I149" s="138"/>
    </row>
    <row r="150" spans="1:9" x14ac:dyDescent="0.25">
      <c r="A150" s="138"/>
      <c r="B150" s="138"/>
      <c r="C150" s="138"/>
      <c r="D150" s="138"/>
      <c r="E150" s="138"/>
      <c r="F150" s="138"/>
      <c r="G150" s="138"/>
      <c r="H150" s="138"/>
      <c r="I150" s="138"/>
    </row>
    <row r="151" spans="1:9" x14ac:dyDescent="0.25">
      <c r="A151" s="138"/>
      <c r="B151" s="138"/>
      <c r="C151" s="138"/>
      <c r="D151" s="138"/>
      <c r="E151" s="138"/>
      <c r="F151" s="138"/>
      <c r="G151" s="138"/>
      <c r="H151" s="138"/>
      <c r="I151" s="138"/>
    </row>
    <row r="152" spans="1:9" x14ac:dyDescent="0.25">
      <c r="A152" s="138"/>
      <c r="B152" s="138"/>
      <c r="C152" s="138"/>
      <c r="D152" s="138"/>
      <c r="E152" s="138"/>
      <c r="F152" s="138"/>
      <c r="G152" s="138"/>
      <c r="H152" s="138"/>
      <c r="I152" s="138"/>
    </row>
    <row r="153" spans="1:9" x14ac:dyDescent="0.25">
      <c r="A153" s="138"/>
      <c r="B153" s="138"/>
      <c r="C153" s="138"/>
      <c r="D153" s="138"/>
      <c r="E153" s="138"/>
      <c r="F153" s="138"/>
      <c r="G153" s="138"/>
      <c r="H153" s="138"/>
      <c r="I153" s="138"/>
    </row>
    <row r="154" spans="1:9" x14ac:dyDescent="0.25">
      <c r="A154" s="138"/>
      <c r="B154" s="138"/>
      <c r="C154" s="138"/>
      <c r="D154" s="138"/>
      <c r="E154" s="138"/>
      <c r="F154" s="138"/>
      <c r="G154" s="138"/>
      <c r="H154" s="138"/>
      <c r="I154" s="138"/>
    </row>
    <row r="155" spans="1:9" x14ac:dyDescent="0.25">
      <c r="A155" s="138"/>
      <c r="B155" s="138"/>
      <c r="C155" s="138"/>
      <c r="D155" s="138"/>
      <c r="E155" s="138"/>
      <c r="F155" s="138"/>
      <c r="G155" s="138"/>
      <c r="H155" s="138"/>
      <c r="I155" s="138"/>
    </row>
    <row r="156" spans="1:9" x14ac:dyDescent="0.25">
      <c r="A156" s="138"/>
      <c r="B156" s="138"/>
      <c r="C156" s="138"/>
      <c r="D156" s="138"/>
      <c r="E156" s="138"/>
      <c r="F156" s="138"/>
      <c r="G156" s="138"/>
      <c r="H156" s="138"/>
      <c r="I156" s="138"/>
    </row>
    <row r="157" spans="1:9" x14ac:dyDescent="0.25">
      <c r="A157" s="138"/>
      <c r="B157" s="138"/>
      <c r="C157" s="138"/>
      <c r="D157" s="138"/>
      <c r="E157" s="138"/>
      <c r="F157" s="138"/>
      <c r="G157" s="138"/>
      <c r="H157" s="138"/>
      <c r="I157" s="138"/>
    </row>
    <row r="158" spans="1:9" x14ac:dyDescent="0.25">
      <c r="A158" s="138"/>
      <c r="B158" s="138"/>
      <c r="C158" s="138"/>
      <c r="D158" s="138"/>
      <c r="E158" s="138"/>
      <c r="F158" s="138"/>
      <c r="G158" s="138"/>
      <c r="H158" s="138"/>
      <c r="I158" s="138"/>
    </row>
    <row r="159" spans="1:9" x14ac:dyDescent="0.25">
      <c r="A159" s="138"/>
      <c r="B159" s="138"/>
      <c r="C159" s="138"/>
      <c r="D159" s="138"/>
      <c r="E159" s="138"/>
      <c r="F159" s="138"/>
      <c r="G159" s="138"/>
      <c r="H159" s="138"/>
      <c r="I159" s="138"/>
    </row>
    <row r="160" spans="1:9" x14ac:dyDescent="0.25">
      <c r="A160" s="137"/>
      <c r="B160" s="137"/>
      <c r="C160" s="137"/>
      <c r="D160" s="137"/>
      <c r="E160" s="138"/>
      <c r="F160" s="137"/>
      <c r="G160" s="137"/>
      <c r="H160" s="137"/>
      <c r="I160" s="137"/>
    </row>
    <row r="161" spans="1:9" x14ac:dyDescent="0.25">
      <c r="A161" s="138"/>
      <c r="B161" s="138"/>
      <c r="C161" s="138"/>
      <c r="D161" s="138"/>
      <c r="E161" s="138"/>
      <c r="F161" s="138"/>
      <c r="G161" s="138"/>
      <c r="H161" s="138"/>
      <c r="I161" s="138"/>
    </row>
    <row r="162" spans="1:9" x14ac:dyDescent="0.25">
      <c r="A162" s="138"/>
      <c r="B162" s="138"/>
      <c r="C162" s="138"/>
      <c r="D162" s="138"/>
      <c r="E162" s="138"/>
      <c r="F162" s="138"/>
      <c r="G162" s="138"/>
      <c r="H162" s="138"/>
      <c r="I162" s="138"/>
    </row>
    <row r="163" spans="1:9" x14ac:dyDescent="0.25">
      <c r="A163" s="138"/>
      <c r="B163" s="138"/>
      <c r="C163" s="138"/>
      <c r="D163" s="138"/>
      <c r="E163" s="138"/>
      <c r="F163" s="138"/>
      <c r="G163" s="138"/>
      <c r="H163" s="138"/>
      <c r="I163" s="138"/>
    </row>
    <row r="164" spans="1:9" x14ac:dyDescent="0.25">
      <c r="A164" s="138"/>
      <c r="B164" s="138"/>
      <c r="C164" s="138"/>
      <c r="D164" s="138"/>
      <c r="E164" s="138"/>
      <c r="F164" s="138"/>
      <c r="G164" s="138"/>
      <c r="H164" s="138"/>
      <c r="I164" s="138"/>
    </row>
    <row r="165" spans="1:9" x14ac:dyDescent="0.25">
      <c r="A165" s="138"/>
      <c r="B165" s="138"/>
      <c r="C165" s="138"/>
      <c r="D165" s="138"/>
      <c r="E165" s="138"/>
      <c r="F165" s="138"/>
      <c r="G165" s="138"/>
      <c r="H165" s="138"/>
      <c r="I165" s="138"/>
    </row>
    <row r="166" spans="1:9" x14ac:dyDescent="0.25">
      <c r="A166" s="138"/>
      <c r="B166" s="138"/>
      <c r="C166" s="138"/>
      <c r="D166" s="138"/>
      <c r="E166" s="138"/>
      <c r="F166" s="138"/>
      <c r="G166" s="138"/>
      <c r="H166" s="138"/>
      <c r="I166" s="138"/>
    </row>
    <row r="167" spans="1:9" x14ac:dyDescent="0.25">
      <c r="A167" s="138"/>
      <c r="B167" s="138"/>
      <c r="C167" s="138"/>
      <c r="D167" s="138"/>
      <c r="E167" s="138"/>
      <c r="F167" s="138"/>
      <c r="G167" s="138"/>
      <c r="H167" s="138"/>
      <c r="I167" s="138"/>
    </row>
    <row r="168" spans="1:9" x14ac:dyDescent="0.25">
      <c r="A168" s="138"/>
      <c r="B168" s="138"/>
      <c r="C168" s="138"/>
      <c r="D168" s="138"/>
      <c r="E168" s="138"/>
      <c r="F168" s="138"/>
      <c r="G168" s="138"/>
      <c r="H168" s="138"/>
      <c r="I168" s="138"/>
    </row>
    <row r="169" spans="1:9" x14ac:dyDescent="0.25">
      <c r="A169" s="138"/>
      <c r="B169" s="138"/>
      <c r="C169" s="138"/>
      <c r="D169" s="138"/>
      <c r="E169" s="138"/>
      <c r="F169" s="138"/>
      <c r="G169" s="138"/>
      <c r="H169" s="138"/>
      <c r="I169" s="138"/>
    </row>
    <row r="170" spans="1:9" x14ac:dyDescent="0.25">
      <c r="A170" s="138"/>
      <c r="B170" s="138"/>
      <c r="C170" s="138"/>
      <c r="D170" s="138"/>
      <c r="E170" s="138"/>
      <c r="F170" s="138"/>
      <c r="G170" s="138"/>
      <c r="H170" s="138"/>
      <c r="I170" s="138"/>
    </row>
    <row r="171" spans="1:9" x14ac:dyDescent="0.25">
      <c r="A171" s="138"/>
      <c r="B171" s="138"/>
      <c r="C171" s="138"/>
      <c r="D171" s="138"/>
      <c r="E171" s="138"/>
      <c r="F171" s="138"/>
      <c r="G171" s="138"/>
      <c r="H171" s="138"/>
      <c r="I171" s="138"/>
    </row>
    <row r="172" spans="1:9" x14ac:dyDescent="0.25">
      <c r="A172" s="138"/>
      <c r="B172" s="138"/>
      <c r="C172" s="138"/>
      <c r="D172" s="138"/>
      <c r="E172" s="138"/>
      <c r="F172" s="138"/>
      <c r="G172" s="138"/>
      <c r="H172" s="138"/>
      <c r="I172" s="138"/>
    </row>
    <row r="173" spans="1:9" x14ac:dyDescent="0.25">
      <c r="A173" s="138"/>
      <c r="B173" s="138"/>
      <c r="C173" s="138"/>
      <c r="D173" s="138"/>
      <c r="E173" s="138"/>
      <c r="F173" s="138"/>
      <c r="G173" s="138"/>
      <c r="H173" s="138"/>
      <c r="I173" s="138"/>
    </row>
    <row r="174" spans="1:9" x14ac:dyDescent="0.25">
      <c r="A174" s="138"/>
      <c r="B174" s="138"/>
      <c r="C174" s="138"/>
      <c r="D174" s="138"/>
      <c r="E174" s="138"/>
      <c r="F174" s="138"/>
      <c r="G174" s="138"/>
      <c r="H174" s="138"/>
      <c r="I174" s="138"/>
    </row>
    <row r="175" spans="1:9" x14ac:dyDescent="0.25">
      <c r="A175" s="138"/>
      <c r="B175" s="138"/>
      <c r="C175" s="138"/>
      <c r="D175" s="138"/>
      <c r="E175" s="138"/>
      <c r="F175" s="138"/>
      <c r="G175" s="138"/>
      <c r="H175" s="138"/>
      <c r="I175" s="138"/>
    </row>
    <row r="176" spans="1:9" x14ac:dyDescent="0.25">
      <c r="A176" s="138"/>
      <c r="B176" s="138"/>
      <c r="C176" s="138"/>
      <c r="D176" s="138"/>
      <c r="E176" s="138"/>
      <c r="F176" s="138"/>
      <c r="G176" s="138"/>
      <c r="H176" s="138"/>
      <c r="I176" s="138"/>
    </row>
    <row r="177" spans="1:9" x14ac:dyDescent="0.25">
      <c r="A177" s="138"/>
      <c r="B177" s="138"/>
      <c r="C177" s="138"/>
      <c r="D177" s="138"/>
      <c r="E177" s="138"/>
      <c r="F177" s="138"/>
      <c r="G177" s="138"/>
      <c r="H177" s="138"/>
      <c r="I177" s="138"/>
    </row>
    <row r="178" spans="1:9" x14ac:dyDescent="0.25">
      <c r="A178" s="137"/>
      <c r="B178" s="137"/>
      <c r="C178" s="137"/>
      <c r="D178" s="137"/>
      <c r="E178" s="138"/>
      <c r="F178" s="137"/>
      <c r="G178" s="137"/>
      <c r="H178" s="137"/>
      <c r="I178" s="137"/>
    </row>
    <row r="179" spans="1:9" x14ac:dyDescent="0.25">
      <c r="A179" s="138"/>
      <c r="B179" s="138"/>
      <c r="C179" s="138"/>
      <c r="D179" s="138"/>
      <c r="E179" s="138"/>
      <c r="F179" s="138"/>
      <c r="G179" s="138"/>
      <c r="H179" s="138"/>
      <c r="I179" s="138"/>
    </row>
    <row r="180" spans="1:9" x14ac:dyDescent="0.25">
      <c r="A180" s="138"/>
      <c r="B180" s="138"/>
      <c r="C180" s="138"/>
      <c r="D180" s="138"/>
      <c r="E180" s="138"/>
      <c r="F180" s="138"/>
      <c r="G180" s="138"/>
      <c r="H180" s="138"/>
      <c r="I180" s="138"/>
    </row>
    <row r="181" spans="1:9" x14ac:dyDescent="0.25">
      <c r="A181" s="138"/>
      <c r="B181" s="138"/>
      <c r="C181" s="138"/>
      <c r="D181" s="138"/>
      <c r="E181" s="138"/>
      <c r="F181" s="138"/>
      <c r="G181" s="138"/>
      <c r="H181" s="138"/>
      <c r="I181" s="138"/>
    </row>
    <row r="182" spans="1:9" x14ac:dyDescent="0.25">
      <c r="A182" s="138"/>
      <c r="B182" s="138"/>
      <c r="C182" s="138"/>
      <c r="D182" s="138"/>
      <c r="E182" s="138"/>
      <c r="F182" s="138"/>
      <c r="G182" s="138"/>
      <c r="H182" s="138"/>
      <c r="I182" s="138"/>
    </row>
    <row r="183" spans="1:9" x14ac:dyDescent="0.25">
      <c r="A183" s="138"/>
      <c r="B183" s="138"/>
      <c r="C183" s="138"/>
      <c r="D183" s="138"/>
      <c r="E183" s="138"/>
      <c r="F183" s="138"/>
      <c r="G183" s="138"/>
      <c r="H183" s="138"/>
      <c r="I183" s="138"/>
    </row>
    <row r="184" spans="1:9" x14ac:dyDescent="0.25">
      <c r="A184" s="138"/>
      <c r="B184" s="138"/>
      <c r="C184" s="138"/>
      <c r="D184" s="138"/>
      <c r="E184" s="138"/>
      <c r="F184" s="138"/>
      <c r="G184" s="138"/>
      <c r="H184" s="138"/>
      <c r="I184" s="138"/>
    </row>
    <row r="185" spans="1:9" x14ac:dyDescent="0.25">
      <c r="A185" s="138"/>
      <c r="B185" s="138"/>
      <c r="C185" s="138"/>
      <c r="D185" s="138"/>
      <c r="E185" s="138"/>
      <c r="F185" s="138"/>
      <c r="G185" s="138"/>
      <c r="H185" s="138"/>
      <c r="I185" s="138"/>
    </row>
    <row r="186" spans="1:9" x14ac:dyDescent="0.25">
      <c r="A186" s="138"/>
      <c r="B186" s="138"/>
      <c r="C186" s="138"/>
      <c r="D186" s="138"/>
      <c r="E186" s="138"/>
      <c r="F186" s="138"/>
      <c r="G186" s="138"/>
      <c r="H186" s="138"/>
      <c r="I186" s="138"/>
    </row>
    <row r="187" spans="1:9" x14ac:dyDescent="0.25">
      <c r="A187" s="138"/>
      <c r="B187" s="138"/>
      <c r="C187" s="138"/>
      <c r="D187" s="138"/>
      <c r="E187" s="138"/>
      <c r="F187" s="138"/>
      <c r="G187" s="138"/>
      <c r="H187" s="138"/>
      <c r="I187" s="138"/>
    </row>
    <row r="188" spans="1:9" x14ac:dyDescent="0.25">
      <c r="A188" s="138"/>
      <c r="B188" s="138"/>
      <c r="C188" s="138"/>
      <c r="D188" s="138"/>
      <c r="E188" s="138"/>
      <c r="F188" s="138"/>
      <c r="G188" s="138"/>
      <c r="H188" s="138"/>
      <c r="I188" s="138"/>
    </row>
    <row r="189" spans="1:9" x14ac:dyDescent="0.25">
      <c r="A189" s="138"/>
      <c r="B189" s="138"/>
      <c r="C189" s="138"/>
      <c r="D189" s="138"/>
      <c r="E189" s="138"/>
      <c r="F189" s="138"/>
      <c r="G189" s="138"/>
      <c r="H189" s="138"/>
      <c r="I189" s="138"/>
    </row>
    <row r="190" spans="1:9" x14ac:dyDescent="0.25">
      <c r="A190" s="138"/>
      <c r="B190" s="138"/>
      <c r="C190" s="138"/>
      <c r="D190" s="138"/>
      <c r="E190" s="138"/>
      <c r="F190" s="138"/>
      <c r="G190" s="138"/>
      <c r="H190" s="138"/>
      <c r="I190" s="138"/>
    </row>
    <row r="191" spans="1:9" x14ac:dyDescent="0.25">
      <c r="A191" s="138"/>
      <c r="B191" s="138"/>
      <c r="C191" s="138"/>
      <c r="D191" s="138"/>
      <c r="E191" s="138"/>
      <c r="F191" s="138"/>
      <c r="G191" s="138"/>
      <c r="H191" s="138"/>
      <c r="I191" s="138"/>
    </row>
    <row r="192" spans="1:9" x14ac:dyDescent="0.25">
      <c r="A192" s="138"/>
      <c r="B192" s="138"/>
      <c r="C192" s="138"/>
      <c r="D192" s="138"/>
      <c r="E192" s="138"/>
      <c r="F192" s="138"/>
      <c r="G192" s="138"/>
      <c r="H192" s="138"/>
      <c r="I192" s="138"/>
    </row>
    <row r="193" spans="1:9" x14ac:dyDescent="0.25">
      <c r="A193" s="138"/>
      <c r="B193" s="138"/>
      <c r="C193" s="138"/>
      <c r="D193" s="138"/>
      <c r="E193" s="138"/>
      <c r="F193" s="138"/>
      <c r="G193" s="138"/>
      <c r="H193" s="138"/>
      <c r="I193" s="138"/>
    </row>
    <row r="194" spans="1:9" x14ac:dyDescent="0.25">
      <c r="A194" s="138"/>
      <c r="B194" s="138"/>
      <c r="C194" s="138"/>
      <c r="D194" s="138"/>
      <c r="E194" s="138"/>
      <c r="F194" s="138"/>
      <c r="G194" s="138"/>
      <c r="H194" s="138"/>
      <c r="I194" s="138"/>
    </row>
    <row r="195" spans="1:9" x14ac:dyDescent="0.25">
      <c r="A195" s="138"/>
      <c r="B195" s="138"/>
      <c r="C195" s="138"/>
      <c r="D195" s="138"/>
      <c r="E195" s="138"/>
      <c r="F195" s="138"/>
      <c r="G195" s="138"/>
      <c r="H195" s="138"/>
      <c r="I195" s="138"/>
    </row>
    <row r="196" spans="1:9" x14ac:dyDescent="0.25">
      <c r="A196" s="137"/>
      <c r="B196" s="137"/>
      <c r="C196" s="137"/>
      <c r="D196" s="137"/>
      <c r="E196" s="138"/>
      <c r="F196" s="137"/>
      <c r="G196" s="137"/>
      <c r="H196" s="137"/>
      <c r="I196" s="137"/>
    </row>
    <row r="197" spans="1:9" x14ac:dyDescent="0.25">
      <c r="A197" s="138"/>
      <c r="B197" s="138"/>
      <c r="C197" s="138"/>
      <c r="D197" s="138"/>
      <c r="E197" s="138"/>
      <c r="F197" s="138"/>
      <c r="G197" s="138"/>
      <c r="H197" s="138"/>
      <c r="I197" s="138"/>
    </row>
    <row r="198" spans="1:9" x14ac:dyDescent="0.25">
      <c r="A198" s="138"/>
      <c r="B198" s="138"/>
      <c r="C198" s="138"/>
      <c r="D198" s="138"/>
      <c r="E198" s="138"/>
      <c r="F198" s="138"/>
      <c r="G198" s="138"/>
      <c r="H198" s="138"/>
      <c r="I198" s="138"/>
    </row>
    <row r="199" spans="1:9" x14ac:dyDescent="0.25">
      <c r="A199" s="138"/>
      <c r="B199" s="138"/>
      <c r="C199" s="138"/>
      <c r="D199" s="138"/>
      <c r="E199" s="138"/>
      <c r="F199" s="138"/>
      <c r="G199" s="138"/>
      <c r="H199" s="138"/>
      <c r="I199" s="138"/>
    </row>
    <row r="200" spans="1:9" x14ac:dyDescent="0.25">
      <c r="A200" s="138"/>
      <c r="B200" s="138"/>
      <c r="C200" s="138"/>
      <c r="D200" s="138"/>
      <c r="E200" s="138"/>
      <c r="F200" s="138"/>
      <c r="G200" s="138"/>
      <c r="H200" s="138"/>
      <c r="I200" s="138"/>
    </row>
    <row r="201" spans="1:9" x14ac:dyDescent="0.25">
      <c r="A201" s="138"/>
      <c r="B201" s="138"/>
      <c r="C201" s="138"/>
      <c r="D201" s="138"/>
      <c r="E201" s="138"/>
      <c r="F201" s="138"/>
      <c r="G201" s="138"/>
      <c r="H201" s="138"/>
      <c r="I201" s="138"/>
    </row>
    <row r="202" spans="1:9" x14ac:dyDescent="0.25">
      <c r="A202" s="138"/>
      <c r="B202" s="138"/>
      <c r="C202" s="138"/>
      <c r="D202" s="138"/>
      <c r="E202" s="138"/>
      <c r="F202" s="138"/>
      <c r="G202" s="138"/>
      <c r="H202" s="138"/>
      <c r="I202" s="138"/>
    </row>
    <row r="203" spans="1:9" x14ac:dyDescent="0.25">
      <c r="A203" s="138"/>
      <c r="B203" s="138"/>
      <c r="C203" s="138"/>
      <c r="D203" s="138"/>
      <c r="E203" s="138"/>
      <c r="F203" s="138"/>
      <c r="G203" s="138"/>
      <c r="H203" s="138"/>
      <c r="I203" s="138"/>
    </row>
    <row r="204" spans="1:9" x14ac:dyDescent="0.25">
      <c r="A204" s="138"/>
      <c r="B204" s="138"/>
      <c r="C204" s="138"/>
      <c r="D204" s="138"/>
      <c r="E204" s="138"/>
      <c r="F204" s="138"/>
      <c r="G204" s="138"/>
      <c r="H204" s="138"/>
      <c r="I204" s="138"/>
    </row>
    <row r="205" spans="1:9" x14ac:dyDescent="0.25">
      <c r="A205" s="138"/>
      <c r="B205" s="138"/>
      <c r="C205" s="138"/>
      <c r="D205" s="138"/>
      <c r="E205" s="138"/>
      <c r="F205" s="138"/>
      <c r="G205" s="138"/>
      <c r="H205" s="138"/>
      <c r="I205" s="138"/>
    </row>
    <row r="206" spans="1:9" x14ac:dyDescent="0.25">
      <c r="A206" s="138"/>
      <c r="B206" s="138"/>
      <c r="C206" s="138"/>
      <c r="D206" s="138"/>
      <c r="E206" s="138"/>
      <c r="F206" s="138"/>
      <c r="G206" s="138"/>
      <c r="H206" s="138"/>
      <c r="I206" s="138"/>
    </row>
    <row r="207" spans="1:9" x14ac:dyDescent="0.25">
      <c r="A207" s="138"/>
      <c r="B207" s="138"/>
      <c r="C207" s="138"/>
      <c r="D207" s="138"/>
      <c r="E207" s="138"/>
      <c r="F207" s="138"/>
      <c r="G207" s="138"/>
      <c r="H207" s="138"/>
      <c r="I207" s="138"/>
    </row>
    <row r="208" spans="1:9" x14ac:dyDescent="0.25">
      <c r="A208" s="138"/>
      <c r="B208" s="138"/>
      <c r="C208" s="138"/>
      <c r="D208" s="138"/>
      <c r="E208" s="138"/>
      <c r="F208" s="138"/>
      <c r="G208" s="138"/>
      <c r="H208" s="138"/>
      <c r="I208" s="138"/>
    </row>
    <row r="209" spans="1:9" x14ac:dyDescent="0.25">
      <c r="A209" s="138"/>
      <c r="B209" s="138"/>
      <c r="C209" s="138"/>
      <c r="D209" s="138"/>
      <c r="E209" s="138"/>
      <c r="F209" s="138"/>
      <c r="G209" s="138"/>
      <c r="H209" s="138"/>
      <c r="I209" s="138"/>
    </row>
    <row r="210" spans="1:9" x14ac:dyDescent="0.25">
      <c r="A210" s="138"/>
      <c r="B210" s="138"/>
      <c r="C210" s="138"/>
      <c r="D210" s="138"/>
      <c r="E210" s="138"/>
      <c r="F210" s="138"/>
      <c r="G210" s="138"/>
      <c r="H210" s="138"/>
      <c r="I210" s="138"/>
    </row>
    <row r="211" spans="1:9" x14ac:dyDescent="0.25">
      <c r="A211" s="138"/>
      <c r="B211" s="138"/>
      <c r="C211" s="138"/>
      <c r="D211" s="138"/>
      <c r="E211" s="138"/>
      <c r="F211" s="138"/>
      <c r="G211" s="138"/>
      <c r="H211" s="138"/>
      <c r="I211" s="138"/>
    </row>
    <row r="212" spans="1:9" x14ac:dyDescent="0.25">
      <c r="A212" s="138"/>
      <c r="B212" s="138"/>
      <c r="C212" s="138"/>
      <c r="D212" s="138"/>
      <c r="E212" s="138"/>
      <c r="F212" s="138"/>
      <c r="G212" s="138"/>
      <c r="H212" s="138"/>
      <c r="I212" s="138"/>
    </row>
  </sheetData>
  <sheetProtection algorithmName="SHA-512" hashValue="EkGbu0BF6uJcyKiF8oqI7Rzyrw3IOOM7vzOd7qdCFtScKjCTlIPgyqq6Eq6RKXVIlc+iA5ip5L6OVWr6SGtA9A==" saltValue="4ZzHC6+2oFjRzKguYSdpTw==" spinCount="100000" sheet="1" selectLockedCells="1"/>
  <mergeCells count="204">
    <mergeCell ref="K77:AA77"/>
    <mergeCell ref="A1:I1"/>
    <mergeCell ref="C40:F40"/>
    <mergeCell ref="C4:D4"/>
    <mergeCell ref="C29:F29"/>
    <mergeCell ref="K60:AA60"/>
    <mergeCell ref="K62:AA62"/>
    <mergeCell ref="K64:AA64"/>
    <mergeCell ref="K65:AA65"/>
    <mergeCell ref="K66:AA66"/>
    <mergeCell ref="K53:AA53"/>
    <mergeCell ref="K55:AA55"/>
    <mergeCell ref="K57:AA57"/>
    <mergeCell ref="K58:AA58"/>
    <mergeCell ref="K59:AA59"/>
    <mergeCell ref="K3:O3"/>
    <mergeCell ref="K4:O4"/>
    <mergeCell ref="P4:T4"/>
    <mergeCell ref="U4:X4"/>
    <mergeCell ref="K2:O2"/>
    <mergeCell ref="K7:O7"/>
    <mergeCell ref="K8:O8"/>
    <mergeCell ref="P7:T7"/>
    <mergeCell ref="U7:X7"/>
    <mergeCell ref="P8:T8"/>
    <mergeCell ref="U8:X8"/>
    <mergeCell ref="K13:O13"/>
    <mergeCell ref="K91:AA91"/>
    <mergeCell ref="K14:O14"/>
    <mergeCell ref="K23:O23"/>
    <mergeCell ref="K24:O24"/>
    <mergeCell ref="P23:T23"/>
    <mergeCell ref="U23:X23"/>
    <mergeCell ref="P24:T24"/>
    <mergeCell ref="U24:X24"/>
    <mergeCell ref="K21:O21"/>
    <mergeCell ref="K22:O22"/>
    <mergeCell ref="P21:T21"/>
    <mergeCell ref="U21:X21"/>
    <mergeCell ref="P22:T22"/>
    <mergeCell ref="U22:X22"/>
    <mergeCell ref="K19:O19"/>
    <mergeCell ref="K20:O20"/>
    <mergeCell ref="P19:T19"/>
    <mergeCell ref="K26:O26"/>
    <mergeCell ref="P27:T27"/>
    <mergeCell ref="U27:X27"/>
    <mergeCell ref="P28:T28"/>
    <mergeCell ref="B3:D3"/>
    <mergeCell ref="K1:O1"/>
    <mergeCell ref="P1:T1"/>
    <mergeCell ref="U1:X1"/>
    <mergeCell ref="P2:T2"/>
    <mergeCell ref="U2:X2"/>
    <mergeCell ref="P46:T46"/>
    <mergeCell ref="U46:X46"/>
    <mergeCell ref="K43:O43"/>
    <mergeCell ref="K44:O44"/>
    <mergeCell ref="P43:T43"/>
    <mergeCell ref="U43:X43"/>
    <mergeCell ref="P44:T44"/>
    <mergeCell ref="U44:X44"/>
    <mergeCell ref="K41:O41"/>
    <mergeCell ref="K42:O42"/>
    <mergeCell ref="P41:T41"/>
    <mergeCell ref="U41:X41"/>
    <mergeCell ref="P42:T42"/>
    <mergeCell ref="U42:X42"/>
    <mergeCell ref="K39:O39"/>
    <mergeCell ref="K40:O40"/>
    <mergeCell ref="P39:T39"/>
    <mergeCell ref="K33:O33"/>
    <mergeCell ref="M56:AA56"/>
    <mergeCell ref="B8:C8"/>
    <mergeCell ref="A19:D19"/>
    <mergeCell ref="E19:I19"/>
    <mergeCell ref="C5:D5"/>
    <mergeCell ref="C6:D6"/>
    <mergeCell ref="P40:T40"/>
    <mergeCell ref="U40:X40"/>
    <mergeCell ref="K37:O37"/>
    <mergeCell ref="K38:O38"/>
    <mergeCell ref="P37:T37"/>
    <mergeCell ref="U37:X37"/>
    <mergeCell ref="P38:T38"/>
    <mergeCell ref="U38:X38"/>
    <mergeCell ref="K35:O35"/>
    <mergeCell ref="K36:O36"/>
    <mergeCell ref="P35:T35"/>
    <mergeCell ref="B13:C13"/>
    <mergeCell ref="K5:O5"/>
    <mergeCell ref="K6:O6"/>
    <mergeCell ref="P5:T5"/>
    <mergeCell ref="U5:X5"/>
    <mergeCell ref="P6:T6"/>
    <mergeCell ref="U6:X6"/>
    <mergeCell ref="K9:O9"/>
    <mergeCell ref="K10:O10"/>
    <mergeCell ref="P9:T9"/>
    <mergeCell ref="U9:X9"/>
    <mergeCell ref="P10:T10"/>
    <mergeCell ref="U10:X10"/>
    <mergeCell ref="P13:T13"/>
    <mergeCell ref="U13:X13"/>
    <mergeCell ref="U19:X19"/>
    <mergeCell ref="P14:T14"/>
    <mergeCell ref="U14:X14"/>
    <mergeCell ref="K17:O17"/>
    <mergeCell ref="P17:T17"/>
    <mergeCell ref="U17:X17"/>
    <mergeCell ref="P18:T18"/>
    <mergeCell ref="U18:X18"/>
    <mergeCell ref="K15:O15"/>
    <mergeCell ref="K16:O16"/>
    <mergeCell ref="P15:T15"/>
    <mergeCell ref="U15:X15"/>
    <mergeCell ref="P16:T16"/>
    <mergeCell ref="U16:X16"/>
    <mergeCell ref="K18:O18"/>
    <mergeCell ref="K45:O45"/>
    <mergeCell ref="K46:O46"/>
    <mergeCell ref="P45:T45"/>
    <mergeCell ref="U45:X45"/>
    <mergeCell ref="K11:O11"/>
    <mergeCell ref="K12:O12"/>
    <mergeCell ref="P11:T11"/>
    <mergeCell ref="U11:X11"/>
    <mergeCell ref="P12:T12"/>
    <mergeCell ref="U12:X12"/>
    <mergeCell ref="P30:T30"/>
    <mergeCell ref="U30:X30"/>
    <mergeCell ref="U26:X26"/>
    <mergeCell ref="K48:AA48"/>
    <mergeCell ref="K49:AA49"/>
    <mergeCell ref="K50:AA50"/>
    <mergeCell ref="K51:AA51"/>
    <mergeCell ref="K52:AA52"/>
    <mergeCell ref="B20:D20"/>
    <mergeCell ref="B21:D21"/>
    <mergeCell ref="B22:D22"/>
    <mergeCell ref="B23:D23"/>
    <mergeCell ref="B24:D24"/>
    <mergeCell ref="B25:D25"/>
    <mergeCell ref="B26:D26"/>
    <mergeCell ref="K27:O27"/>
    <mergeCell ref="K28:O28"/>
    <mergeCell ref="U39:X39"/>
    <mergeCell ref="P31:T31"/>
    <mergeCell ref="U31:X31"/>
    <mergeCell ref="P32:T32"/>
    <mergeCell ref="U32:X32"/>
    <mergeCell ref="P25:T25"/>
    <mergeCell ref="U25:X25"/>
    <mergeCell ref="P26:T26"/>
    <mergeCell ref="A27:B27"/>
    <mergeCell ref="D27:F27"/>
    <mergeCell ref="G3:H3"/>
    <mergeCell ref="G4:H4"/>
    <mergeCell ref="G5:H5"/>
    <mergeCell ref="G6:H6"/>
    <mergeCell ref="P20:T20"/>
    <mergeCell ref="U20:X20"/>
    <mergeCell ref="K25:O25"/>
    <mergeCell ref="P36:T36"/>
    <mergeCell ref="U36:X36"/>
    <mergeCell ref="U35:X35"/>
    <mergeCell ref="U28:X28"/>
    <mergeCell ref="K34:O34"/>
    <mergeCell ref="P33:T33"/>
    <mergeCell ref="U33:X33"/>
    <mergeCell ref="P34:T34"/>
    <mergeCell ref="U34:X34"/>
    <mergeCell ref="K31:O31"/>
    <mergeCell ref="K32:O32"/>
    <mergeCell ref="K29:O29"/>
    <mergeCell ref="K30:O30"/>
    <mergeCell ref="P29:T29"/>
    <mergeCell ref="U29:X29"/>
    <mergeCell ref="P3:T3"/>
    <mergeCell ref="U3:X3"/>
    <mergeCell ref="K93:AA93"/>
    <mergeCell ref="K94:AA94"/>
    <mergeCell ref="K95:AA95"/>
    <mergeCell ref="M63:AA63"/>
    <mergeCell ref="M70:AA70"/>
    <mergeCell ref="K79:AA79"/>
    <mergeCell ref="K80:AA80"/>
    <mergeCell ref="K81:AA81"/>
    <mergeCell ref="K83:AA83"/>
    <mergeCell ref="K84:AA84"/>
    <mergeCell ref="K85:AA85"/>
    <mergeCell ref="K76:AA76"/>
    <mergeCell ref="K78:AA78"/>
    <mergeCell ref="K92:AA92"/>
    <mergeCell ref="K86:AA86"/>
    <mergeCell ref="K87:AA87"/>
    <mergeCell ref="K88:AA88"/>
    <mergeCell ref="K67:AA67"/>
    <mergeCell ref="K69:AA69"/>
    <mergeCell ref="K71:AA71"/>
    <mergeCell ref="K72:AA72"/>
    <mergeCell ref="K73:AA73"/>
    <mergeCell ref="K74:AA74"/>
    <mergeCell ref="K90:AA90"/>
  </mergeCells>
  <hyperlinks>
    <hyperlink ref="E39" location="'C2-WT'!A1" display="C2-WT" xr:uid="{00000000-0004-0000-0200-000000000000}"/>
    <hyperlink ref="D39" location="'C1-WT'!A1" display="C1-WT" xr:uid="{00000000-0004-0000-0200-000001000000}"/>
    <hyperlink ref="F39" location="'C3-WT'!A1" display="C3-WT" xr:uid="{00000000-0004-0000-0200-000002000000}"/>
    <hyperlink ref="C27" location="ability_desc" display="Click Here" xr:uid="{00000000-0004-0000-0200-000003000000}"/>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Combat!$N$2:$N$25</xm:f>
          </x14:formula1>
          <xm:sqref>G14 G9</xm:sqref>
        </x14:dataValidation>
        <x14:dataValidation type="list" allowBlank="1" showInputMessage="1" showErrorMessage="1" xr:uid="{00000000-0002-0000-0200-000001000000}">
          <x14:formula1>
            <xm:f>'C1-WT'!$J$51:$J$53</xm:f>
          </x14:formula1>
          <xm:sqref>C14:C16</xm:sqref>
        </x14:dataValidation>
        <x14:dataValidation type="list" allowBlank="1" showInputMessage="1" showErrorMessage="1" xr:uid="{00000000-0002-0000-0200-000002000000}">
          <x14:formula1>
            <xm:f>Combat!$B$1:$E$1</xm:f>
          </x14:formula1>
          <xm:sqref>C11 C9</xm:sqref>
        </x14:dataValidation>
        <x14:dataValidation type="list" allowBlank="1" showInputMessage="1" showErrorMessage="1" xr:uid="{00000000-0002-0000-0200-000003000000}">
          <x14:formula1>
            <xm:f>Combat!$N$28:$N$44</xm:f>
          </x14:formula1>
          <xm:sqref>G4:H6</xm:sqref>
        </x14:dataValidation>
        <x14:dataValidation type="list" allowBlank="1" showInputMessage="1" showErrorMessage="1" xr:uid="{4534D567-3014-46CD-B773-25220AC7056A}">
          <x14:formula1>
            <xm:f>Combat!$D$1</xm:f>
          </x14:formula1>
          <xm:sqref>C10</xm:sqref>
        </x14:dataValidation>
        <x14:dataValidation type="list" allowBlank="1" showInputMessage="1" showErrorMessage="1" xr:uid="{AF6EDF74-0C06-4546-B1A2-B35C5AF98B39}">
          <x14:formula1>
            <xm:f>Combat!$AA$4:$AA$7</xm:f>
          </x14:formula1>
          <xm:sqref>G10 G15</xm:sqref>
        </x14:dataValidation>
        <x14:dataValidation type="list" allowBlank="1" showInputMessage="1" showErrorMessage="1" xr:uid="{A1FBA2F3-760D-4644-822E-86F04014B784}">
          <x14:formula1>
            <xm:f>Combat!$AA$10:$AA$21</xm:f>
          </x14:formula1>
          <xm:sqref>G11 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W72"/>
  <sheetViews>
    <sheetView zoomScaleNormal="100" workbookViewId="0">
      <selection activeCell="G16" sqref="G16"/>
    </sheetView>
  </sheetViews>
  <sheetFormatPr defaultRowHeight="15" x14ac:dyDescent="0.25"/>
  <cols>
    <col min="1" max="1" width="9.140625" customWidth="1"/>
    <col min="2" max="5" width="7.140625" customWidth="1"/>
    <col min="6" max="6" width="8.140625" customWidth="1"/>
    <col min="7" max="7" width="7.140625" customWidth="1"/>
    <col min="8" max="8" width="7.7109375" customWidth="1"/>
    <col min="9" max="9" width="6.42578125" customWidth="1"/>
    <col min="10" max="10" width="12.85546875" customWidth="1"/>
    <col min="11" max="11" width="5.7109375" customWidth="1"/>
    <col min="12" max="12" width="5.7109375" style="1" customWidth="1"/>
    <col min="16" max="16" width="9.140625" style="1"/>
    <col min="20" max="20" width="9.140625" style="1"/>
  </cols>
  <sheetData>
    <row r="1" spans="1:23" s="1" customFormat="1" ht="18.75" x14ac:dyDescent="0.3">
      <c r="A1" s="519" t="s">
        <v>327</v>
      </c>
      <c r="B1" s="520"/>
      <c r="C1" s="520"/>
      <c r="D1" s="520"/>
      <c r="E1" s="520"/>
      <c r="F1" s="520"/>
      <c r="G1" s="520"/>
      <c r="H1" s="520"/>
      <c r="I1" s="520"/>
      <c r="J1" s="520"/>
      <c r="K1" s="521"/>
    </row>
    <row r="2" spans="1:23" s="1" customFormat="1" ht="16.5" thickBot="1" x14ac:dyDescent="0.3">
      <c r="A2" s="516" t="str">
        <f>class_1&amp;" "&amp;"O.C.C."</f>
        <v>Soldier O.C.C.</v>
      </c>
      <c r="B2" s="517"/>
      <c r="C2" s="517"/>
      <c r="D2" s="517"/>
      <c r="E2" s="517"/>
      <c r="F2" s="517"/>
      <c r="G2" s="517"/>
      <c r="H2" s="517"/>
      <c r="I2" s="517"/>
      <c r="J2" s="517"/>
      <c r="K2" s="518"/>
    </row>
    <row r="3" spans="1:23" s="1" customFormat="1" ht="15.75" thickBot="1" x14ac:dyDescent="0.3">
      <c r="A3" s="231"/>
      <c r="B3" s="231"/>
      <c r="C3" s="231"/>
      <c r="D3" s="231"/>
      <c r="E3" s="231"/>
      <c r="F3" s="231"/>
      <c r="G3" s="231"/>
      <c r="H3" s="231"/>
      <c r="I3" s="231"/>
      <c r="J3" s="231"/>
      <c r="K3" s="231"/>
    </row>
    <row r="4" spans="1:23" ht="30" customHeight="1" thickBot="1" x14ac:dyDescent="0.3">
      <c r="A4" s="125" t="s">
        <v>60</v>
      </c>
      <c r="B4" s="126" t="s">
        <v>61</v>
      </c>
      <c r="C4" s="126" t="s">
        <v>64</v>
      </c>
      <c r="D4" s="126" t="s">
        <v>62</v>
      </c>
      <c r="E4" s="126" t="s">
        <v>63</v>
      </c>
      <c r="F4" s="126" t="s">
        <v>65</v>
      </c>
      <c r="G4" s="77" t="s">
        <v>66</v>
      </c>
      <c r="H4" s="528" t="s">
        <v>67</v>
      </c>
      <c r="I4" s="529"/>
      <c r="J4" s="529"/>
      <c r="K4" s="530"/>
      <c r="L4" s="163"/>
    </row>
    <row r="5" spans="1:23" x14ac:dyDescent="0.25">
      <c r="A5" s="46" t="s">
        <v>1</v>
      </c>
      <c r="B5" s="80">
        <v>10</v>
      </c>
      <c r="C5" s="80"/>
      <c r="D5" s="80"/>
      <c r="E5" s="80"/>
      <c r="F5" s="80"/>
      <c r="G5" s="47">
        <f t="shared" ref="G5:G12" si="0">SUM(B5:F5)</f>
        <v>10</v>
      </c>
      <c r="H5" s="349" t="s">
        <v>23</v>
      </c>
      <c r="I5" s="350"/>
      <c r="J5" s="344"/>
      <c r="K5" s="56">
        <f>IF(total_iq&gt;30, (ROUNDDOWN((total_iq-30)/5, 0))*2+16, IF(total_iq&gt;15, total_iq-14,0))</f>
        <v>0</v>
      </c>
      <c r="L5" s="164"/>
    </row>
    <row r="6" spans="1:23" x14ac:dyDescent="0.25">
      <c r="A6" s="39" t="s">
        <v>2</v>
      </c>
      <c r="B6" s="81">
        <v>10</v>
      </c>
      <c r="C6" s="81"/>
      <c r="D6" s="81"/>
      <c r="E6" s="81"/>
      <c r="F6" s="81"/>
      <c r="G6" s="37">
        <f t="shared" si="0"/>
        <v>10</v>
      </c>
      <c r="H6" s="124" t="s">
        <v>68</v>
      </c>
      <c r="I6" s="8">
        <f>IF(total_me&gt;29, 8, IF(total_me&gt;15, ROUNDDOWN((total_me-14)/2,0), 0))</f>
        <v>0</v>
      </c>
      <c r="J6" s="122" t="s">
        <v>69</v>
      </c>
      <c r="K6" s="9">
        <f>IF(total_me&gt;29, 13, IF(total_me&gt;19, total_me-17, IF(total_me&gt;15, ROUNDDOWN((total_me-14)/2,0), 0)))</f>
        <v>0</v>
      </c>
      <c r="L6" s="164"/>
    </row>
    <row r="7" spans="1:23" x14ac:dyDescent="0.25">
      <c r="A7" s="39" t="s">
        <v>3</v>
      </c>
      <c r="B7" s="81">
        <v>7</v>
      </c>
      <c r="C7" s="81"/>
      <c r="D7" s="81"/>
      <c r="E7" s="81"/>
      <c r="F7" s="81"/>
      <c r="G7" s="37">
        <f t="shared" si="0"/>
        <v>7</v>
      </c>
      <c r="H7" s="312" t="s">
        <v>41</v>
      </c>
      <c r="I7" s="313"/>
      <c r="J7" s="314"/>
      <c r="K7" s="9">
        <f>IF(total_ma&gt;29, 97, IF(total_ma=29, 96, IF(total_ma=28, 94, IF(total_ma=27, 92, IF(total_ma=26, 88, IF(total_ma=25, 84, IF(total_ma&gt;15, (total_ma-8)*5, 0)))))))</f>
        <v>0</v>
      </c>
      <c r="L7" s="164"/>
    </row>
    <row r="8" spans="1:23" x14ac:dyDescent="0.25">
      <c r="A8" s="39" t="s">
        <v>4</v>
      </c>
      <c r="B8" s="81">
        <v>17</v>
      </c>
      <c r="C8" s="81">
        <v>6</v>
      </c>
      <c r="D8" s="81"/>
      <c r="E8" s="81">
        <f>IF(calc_lev&gt;11, 5, IF(calc_lev&gt;5, 4, 2))</f>
        <v>2</v>
      </c>
      <c r="F8" s="81"/>
      <c r="G8" s="37">
        <f t="shared" si="0"/>
        <v>25</v>
      </c>
      <c r="H8" s="312" t="s">
        <v>70</v>
      </c>
      <c r="I8" s="313"/>
      <c r="J8" s="314"/>
      <c r="K8" s="9">
        <f>IF(total_ps&gt;15, total_ps-15, 0)</f>
        <v>10</v>
      </c>
      <c r="L8" s="164"/>
    </row>
    <row r="9" spans="1:23" x14ac:dyDescent="0.25">
      <c r="A9" s="39" t="s">
        <v>5</v>
      </c>
      <c r="B9" s="81">
        <v>10</v>
      </c>
      <c r="C9" s="81"/>
      <c r="D9" s="81"/>
      <c r="E9" s="81"/>
      <c r="F9" s="81"/>
      <c r="G9" s="37">
        <f t="shared" si="0"/>
        <v>10</v>
      </c>
      <c r="H9" s="312" t="s">
        <v>71</v>
      </c>
      <c r="I9" s="313"/>
      <c r="J9" s="314"/>
      <c r="K9" s="9">
        <f>IF(total_pp&gt;29, 8, IF(total_pp&gt;15, ROUNDDOWN((total_pp-14)/2,0), 0))</f>
        <v>0</v>
      </c>
      <c r="L9" s="164"/>
    </row>
    <row r="10" spans="1:23" x14ac:dyDescent="0.25">
      <c r="A10" s="39" t="s">
        <v>6</v>
      </c>
      <c r="B10" s="81">
        <v>14</v>
      </c>
      <c r="C10" s="81"/>
      <c r="D10" s="81"/>
      <c r="E10" s="81"/>
      <c r="F10" s="81"/>
      <c r="G10" s="37">
        <f t="shared" si="0"/>
        <v>14</v>
      </c>
      <c r="H10" s="124" t="s">
        <v>73</v>
      </c>
      <c r="I10" s="8">
        <f>IF(total_pe&gt;29, total_pe, IF(total_pe&gt;17, (total_pe-15)*2, IF(total_pe&gt;15, total_pe-12, 0)))</f>
        <v>0</v>
      </c>
      <c r="J10" s="122" t="s">
        <v>74</v>
      </c>
      <c r="K10" s="9">
        <f>IF(total_pe&gt;15, ROUNDDOWN((total_pe-14)/2,0), 0)</f>
        <v>0</v>
      </c>
      <c r="L10" s="164"/>
    </row>
    <row r="11" spans="1:23" x14ac:dyDescent="0.25">
      <c r="A11" s="39" t="s">
        <v>7</v>
      </c>
      <c r="B11" s="81">
        <v>9</v>
      </c>
      <c r="C11" s="81"/>
      <c r="D11" s="81"/>
      <c r="E11" s="81"/>
      <c r="F11" s="81"/>
      <c r="G11" s="37">
        <f t="shared" si="0"/>
        <v>9</v>
      </c>
      <c r="H11" s="312" t="s">
        <v>39</v>
      </c>
      <c r="I11" s="313"/>
      <c r="J11" s="314"/>
      <c r="K11" s="9">
        <f>IF(total_pb&gt;29, 92, IF(total_pb=29, 90, IF(total_pb=28, 86, IF(total_pb=27, 83, IF(total_pb&gt;15, (total_pb-10)*5, 0)))))</f>
        <v>0</v>
      </c>
      <c r="L11" s="164"/>
    </row>
    <row r="12" spans="1:23" ht="15.75" thickBot="1" x14ac:dyDescent="0.3">
      <c r="A12" s="45" t="s">
        <v>8</v>
      </c>
      <c r="B12" s="82">
        <v>7</v>
      </c>
      <c r="C12" s="82"/>
      <c r="D12" s="82"/>
      <c r="E12" s="82">
        <f>IF(calc_lev&gt;11,3, 0)</f>
        <v>0</v>
      </c>
      <c r="F12" s="82"/>
      <c r="G12" s="49">
        <f t="shared" si="0"/>
        <v>7</v>
      </c>
      <c r="H12" s="525" t="s">
        <v>72</v>
      </c>
      <c r="I12" s="526"/>
      <c r="J12" s="526"/>
      <c r="K12" s="527"/>
      <c r="L12" s="165"/>
      <c r="M12" s="522" t="s">
        <v>330</v>
      </c>
      <c r="N12" s="522"/>
      <c r="O12" s="522"/>
      <c r="P12" s="522"/>
      <c r="Q12" s="522"/>
      <c r="R12" s="522"/>
      <c r="S12" s="522"/>
      <c r="T12" s="522"/>
      <c r="U12" s="522"/>
      <c r="V12" s="522"/>
      <c r="W12" s="522"/>
    </row>
    <row r="13" spans="1:23" ht="15.75" thickBot="1" x14ac:dyDescent="0.3">
      <c r="A13" s="3"/>
      <c r="B13" s="3"/>
      <c r="C13" s="3"/>
      <c r="D13" s="3"/>
      <c r="E13" s="3"/>
      <c r="F13" s="3"/>
      <c r="G13" s="3"/>
      <c r="H13" s="3"/>
      <c r="I13" s="3"/>
      <c r="J13" s="3"/>
      <c r="K13" s="3"/>
      <c r="L13" s="3"/>
    </row>
    <row r="14" spans="1:23" s="1" customFormat="1" ht="30" customHeight="1" thickBot="1" x14ac:dyDescent="0.3">
      <c r="A14" s="492" t="s">
        <v>93</v>
      </c>
      <c r="B14" s="493"/>
      <c r="C14" s="76" t="s">
        <v>87</v>
      </c>
      <c r="D14" s="76" t="s">
        <v>88</v>
      </c>
      <c r="E14" s="76" t="s">
        <v>64</v>
      </c>
      <c r="F14" s="76" t="s">
        <v>89</v>
      </c>
      <c r="G14" s="76" t="s">
        <v>63</v>
      </c>
      <c r="H14" s="77" t="s">
        <v>90</v>
      </c>
      <c r="I14" s="3"/>
      <c r="J14" s="534" t="s">
        <v>55</v>
      </c>
      <c r="K14" s="535"/>
      <c r="L14" s="536"/>
      <c r="N14" s="531" t="s">
        <v>80</v>
      </c>
      <c r="O14" s="532"/>
      <c r="P14" s="533"/>
      <c r="R14" s="531" t="s">
        <v>144</v>
      </c>
      <c r="S14" s="532"/>
      <c r="T14" s="533"/>
    </row>
    <row r="15" spans="1:23" s="1" customFormat="1" x14ac:dyDescent="0.25">
      <c r="A15" s="495" t="s">
        <v>86</v>
      </c>
      <c r="B15" s="496"/>
      <c r="C15" s="149"/>
      <c r="D15" s="150"/>
      <c r="E15" s="150"/>
      <c r="F15" s="218">
        <f>_xlfn.IFNA(VLOOKUP(hth_occ1&amp;" "&amp;calc_lev, hth_bonus, 2, FALSE), "")</f>
        <v>4</v>
      </c>
      <c r="G15" s="150">
        <f>IF(calc_lev&gt;5, 1, 0)</f>
        <v>0</v>
      </c>
      <c r="H15" s="151">
        <f t="shared" ref="H15:H23" si="1">SUM(C15:G15)</f>
        <v>4</v>
      </c>
      <c r="I15" s="3"/>
      <c r="J15" s="158" t="s">
        <v>87</v>
      </c>
      <c r="K15" s="222">
        <f>total_pe</f>
        <v>14</v>
      </c>
      <c r="L15" s="537"/>
      <c r="N15" s="166" t="s">
        <v>246</v>
      </c>
      <c r="O15" s="84">
        <v>10</v>
      </c>
      <c r="P15" s="477"/>
      <c r="R15" s="166" t="s">
        <v>246</v>
      </c>
      <c r="S15" s="84">
        <v>7</v>
      </c>
      <c r="T15" s="477"/>
    </row>
    <row r="16" spans="1:23" ht="15" customHeight="1" x14ac:dyDescent="0.25">
      <c r="A16" s="389" t="s">
        <v>53</v>
      </c>
      <c r="B16" s="341"/>
      <c r="C16" s="44">
        <f>IF(total_pp&gt;45, 6, IF(total_pp&gt;30, ROUNDUP((total_pp-30)/3,0), 0))</f>
        <v>0</v>
      </c>
      <c r="D16" s="81"/>
      <c r="E16" s="81"/>
      <c r="F16" s="219">
        <f>_xlfn.IFNA(VLOOKUP(hth_occ1&amp;" "&amp;calc_lev, hth_bonus, 3, FALSE), "")</f>
        <v>0</v>
      </c>
      <c r="G16" s="81">
        <f>IF(calc_lev&gt;11,1, 0)</f>
        <v>0</v>
      </c>
      <c r="H16" s="37">
        <f t="shared" si="1"/>
        <v>0</v>
      </c>
      <c r="I16" s="3"/>
      <c r="J16" s="158" t="s">
        <v>128</v>
      </c>
      <c r="K16" s="162"/>
      <c r="L16" s="538"/>
      <c r="N16" s="166" t="s">
        <v>156</v>
      </c>
      <c r="O16" s="84"/>
      <c r="P16" s="478"/>
      <c r="Q16" s="1"/>
      <c r="R16" s="166" t="s">
        <v>156</v>
      </c>
      <c r="S16" s="84">
        <f>total_me</f>
        <v>10</v>
      </c>
      <c r="T16" s="478"/>
    </row>
    <row r="17" spans="1:20" x14ac:dyDescent="0.25">
      <c r="A17" s="389" t="s">
        <v>49</v>
      </c>
      <c r="B17" s="341"/>
      <c r="C17" s="21">
        <f>pp_strike</f>
        <v>0</v>
      </c>
      <c r="D17" s="81"/>
      <c r="E17" s="81"/>
      <c r="F17" s="219">
        <f>_xlfn.IFNA(VLOOKUP(hth_occ1&amp;" "&amp;calc_lev, hth_bonus, 4, FALSE), "")</f>
        <v>0</v>
      </c>
      <c r="G17" s="81"/>
      <c r="H17" s="37">
        <f t="shared" si="1"/>
        <v>0</v>
      </c>
      <c r="I17" s="3"/>
      <c r="J17" s="59">
        <v>1</v>
      </c>
      <c r="K17" s="162">
        <v>4</v>
      </c>
      <c r="L17" s="191">
        <f>SUM(K15:K17)</f>
        <v>18</v>
      </c>
      <c r="N17" s="166" t="s">
        <v>15</v>
      </c>
      <c r="O17" s="84"/>
      <c r="P17" s="478"/>
      <c r="Q17" s="1"/>
      <c r="R17" s="166" t="s">
        <v>15</v>
      </c>
      <c r="S17" s="84"/>
      <c r="T17" s="478"/>
    </row>
    <row r="18" spans="1:20" x14ac:dyDescent="0.25">
      <c r="A18" s="389" t="s">
        <v>50</v>
      </c>
      <c r="B18" s="341"/>
      <c r="C18" s="21">
        <f>pp_strike</f>
        <v>0</v>
      </c>
      <c r="D18" s="81"/>
      <c r="E18" s="81"/>
      <c r="F18" s="219">
        <f>_xlfn.IFNA(VLOOKUP(hth_occ1&amp;" "&amp;calc_lev, hth_bonus, 5, FALSE), "")</f>
        <v>0</v>
      </c>
      <c r="G18" s="81">
        <f>IF(calc_lev&gt;5, 2, 0)</f>
        <v>0</v>
      </c>
      <c r="H18" s="37">
        <f t="shared" si="1"/>
        <v>0</v>
      </c>
      <c r="I18" s="3"/>
      <c r="J18" s="158">
        <v>2</v>
      </c>
      <c r="K18" s="162">
        <v>4</v>
      </c>
      <c r="L18" s="191">
        <f>SUM(K15:K18)</f>
        <v>22</v>
      </c>
      <c r="N18" s="166" t="s">
        <v>47</v>
      </c>
      <c r="O18" s="84"/>
      <c r="P18" s="479"/>
      <c r="Q18" s="1"/>
      <c r="R18" s="166" t="s">
        <v>47</v>
      </c>
      <c r="S18" s="84"/>
      <c r="T18" s="479"/>
    </row>
    <row r="19" spans="1:20" x14ac:dyDescent="0.25">
      <c r="A19" s="389" t="s">
        <v>54</v>
      </c>
      <c r="B19" s="341"/>
      <c r="C19" s="21">
        <f>pp_strike</f>
        <v>0</v>
      </c>
      <c r="D19" s="81"/>
      <c r="E19" s="81"/>
      <c r="F19" s="219">
        <f>_xlfn.IFNA(VLOOKUP(hth_occ1&amp;" "&amp;calc_lev, hth_bonus, 6, FALSE), "")</f>
        <v>0</v>
      </c>
      <c r="G19" s="81">
        <f>IF(calc_lev&gt;5, 2, 0)</f>
        <v>0</v>
      </c>
      <c r="H19" s="37">
        <f t="shared" si="1"/>
        <v>0</v>
      </c>
      <c r="I19" s="3"/>
      <c r="J19" s="158">
        <v>3</v>
      </c>
      <c r="K19" s="162">
        <v>4</v>
      </c>
      <c r="L19" s="191">
        <f>SUM(K15:K19)</f>
        <v>26</v>
      </c>
      <c r="N19" s="167">
        <v>1</v>
      </c>
      <c r="O19" s="84">
        <f t="shared" ref="O19:O33" si="2">IF(ability_type=at_5, 3, 0)</f>
        <v>0</v>
      </c>
      <c r="P19" s="32">
        <f>SUM(O15:O19)</f>
        <v>10</v>
      </c>
      <c r="Q19" s="1"/>
      <c r="R19" s="167">
        <v>1</v>
      </c>
      <c r="S19" s="84">
        <v>3</v>
      </c>
      <c r="T19" s="32">
        <f>SUM(S15:S19)</f>
        <v>20</v>
      </c>
    </row>
    <row r="20" spans="1:20" x14ac:dyDescent="0.25">
      <c r="A20" s="389" t="s">
        <v>85</v>
      </c>
      <c r="B20" s="341"/>
      <c r="C20" s="22"/>
      <c r="D20" s="81"/>
      <c r="E20" s="81"/>
      <c r="F20" s="219">
        <f>_xlfn.IFNA(VLOOKUP(hth_occ1&amp;" "&amp;calc_lev, hth_bonus, 7, FALSE), "")</f>
        <v>2</v>
      </c>
      <c r="G20" s="81">
        <f>IF(calc_lev&gt;11, 2, IF(calc_lev&gt;5, 1, 0))</f>
        <v>0</v>
      </c>
      <c r="H20" s="37">
        <f t="shared" si="1"/>
        <v>2</v>
      </c>
      <c r="I20" s="3"/>
      <c r="J20" s="158">
        <v>4</v>
      </c>
      <c r="K20" s="162">
        <v>4</v>
      </c>
      <c r="L20" s="191">
        <f>SUM(K15:K20)</f>
        <v>30</v>
      </c>
      <c r="N20" s="167">
        <v>2</v>
      </c>
      <c r="O20" s="84">
        <f t="shared" si="2"/>
        <v>0</v>
      </c>
      <c r="P20" s="32">
        <f>SUM(O15:O20)</f>
        <v>10</v>
      </c>
      <c r="Q20" s="1"/>
      <c r="R20" s="167">
        <v>2</v>
      </c>
      <c r="S20" s="84">
        <v>3</v>
      </c>
      <c r="T20" s="32">
        <f>SUM(S15:S20)</f>
        <v>23</v>
      </c>
    </row>
    <row r="21" spans="1:20" x14ac:dyDescent="0.25">
      <c r="A21" s="389" t="s">
        <v>58</v>
      </c>
      <c r="B21" s="341"/>
      <c r="C21" s="22"/>
      <c r="D21" s="81">
        <v>1</v>
      </c>
      <c r="E21" s="81"/>
      <c r="F21" s="219">
        <f>_xlfn.IFNA(VLOOKUP(hth_occ1&amp;" "&amp;calc_lev, hth_bonus, 8, FALSE), "")</f>
        <v>2</v>
      </c>
      <c r="G21" s="81"/>
      <c r="H21" s="37">
        <f t="shared" si="1"/>
        <v>3</v>
      </c>
      <c r="I21" s="3"/>
      <c r="J21" s="158">
        <v>5</v>
      </c>
      <c r="K21" s="162">
        <v>4</v>
      </c>
      <c r="L21" s="191">
        <f>SUM(K15:K21)</f>
        <v>34</v>
      </c>
      <c r="N21" s="167">
        <v>3</v>
      </c>
      <c r="O21" s="84">
        <f t="shared" si="2"/>
        <v>0</v>
      </c>
      <c r="P21" s="32">
        <f>SUM(O15:O21)</f>
        <v>10</v>
      </c>
      <c r="Q21" s="1"/>
      <c r="R21" s="167">
        <v>3</v>
      </c>
      <c r="S21" s="84">
        <v>3</v>
      </c>
      <c r="T21" s="32">
        <f>SUM(S15:S21)</f>
        <v>26</v>
      </c>
    </row>
    <row r="22" spans="1:20" x14ac:dyDescent="0.25">
      <c r="A22" s="389" t="s">
        <v>79</v>
      </c>
      <c r="B22" s="341"/>
      <c r="C22" s="21">
        <f>ps_dam</f>
        <v>10</v>
      </c>
      <c r="D22" s="81"/>
      <c r="E22" s="81"/>
      <c r="F22" s="219">
        <f>_xlfn.IFNA(VLOOKUP(hth_occ1&amp;" "&amp;calc_lev, hth_bonus, 9, FALSE), "")</f>
        <v>0</v>
      </c>
      <c r="G22" s="81"/>
      <c r="H22" s="37">
        <f t="shared" si="1"/>
        <v>10</v>
      </c>
      <c r="I22" s="3"/>
      <c r="J22" s="59">
        <v>6</v>
      </c>
      <c r="K22" s="162">
        <v>4</v>
      </c>
      <c r="L22" s="191">
        <f>SUM(K15:K22)</f>
        <v>38</v>
      </c>
      <c r="N22" s="167">
        <v>4</v>
      </c>
      <c r="O22" s="84">
        <f t="shared" si="2"/>
        <v>0</v>
      </c>
      <c r="P22" s="32">
        <f>SUM(O15:O22)</f>
        <v>10</v>
      </c>
      <c r="Q22" s="1"/>
      <c r="R22" s="167">
        <v>4</v>
      </c>
      <c r="S22" s="84">
        <v>3</v>
      </c>
      <c r="T22" s="32">
        <f>SUM(S15:S22)</f>
        <v>29</v>
      </c>
    </row>
    <row r="23" spans="1:20" ht="15.75" thickBot="1" x14ac:dyDescent="0.3">
      <c r="A23" s="494" t="s">
        <v>56</v>
      </c>
      <c r="B23" s="342"/>
      <c r="C23" s="48"/>
      <c r="D23" s="82"/>
      <c r="E23" s="82">
        <v>15</v>
      </c>
      <c r="F23" s="82"/>
      <c r="G23" s="82">
        <f>IF(calc_lev&gt;11, 25, IF(calc_lev&gt;5, 20, 10))</f>
        <v>10</v>
      </c>
      <c r="H23" s="49">
        <f t="shared" si="1"/>
        <v>25</v>
      </c>
      <c r="I23" s="11"/>
      <c r="J23" s="158">
        <v>7</v>
      </c>
      <c r="K23" s="162">
        <v>4</v>
      </c>
      <c r="L23" s="191">
        <f>SUM(K15:K23)</f>
        <v>42</v>
      </c>
      <c r="N23" s="167">
        <v>5</v>
      </c>
      <c r="O23" s="84">
        <f t="shared" si="2"/>
        <v>0</v>
      </c>
      <c r="P23" s="32">
        <f>SUM(O15:O23)</f>
        <v>10</v>
      </c>
      <c r="Q23" s="1"/>
      <c r="R23" s="167">
        <v>5</v>
      </c>
      <c r="S23" s="84">
        <v>3</v>
      </c>
      <c r="T23" s="32">
        <f>SUM(S15:S23)</f>
        <v>32</v>
      </c>
    </row>
    <row r="24" spans="1:20" s="4" customFormat="1" x14ac:dyDescent="0.25">
      <c r="A24" s="16"/>
      <c r="B24" s="16"/>
      <c r="C24" s="23"/>
      <c r="D24" s="23"/>
      <c r="E24" s="23"/>
      <c r="F24" s="23"/>
      <c r="G24" s="23"/>
      <c r="H24" s="23"/>
      <c r="I24" s="23"/>
      <c r="J24" s="158">
        <v>8</v>
      </c>
      <c r="K24" s="162">
        <v>4</v>
      </c>
      <c r="L24" s="191">
        <f>SUM(K15:K24)</f>
        <v>46</v>
      </c>
      <c r="N24" s="167">
        <v>6</v>
      </c>
      <c r="O24" s="84">
        <f t="shared" si="2"/>
        <v>0</v>
      </c>
      <c r="P24" s="32">
        <f>SUM(O15:O24)</f>
        <v>10</v>
      </c>
      <c r="R24" s="167">
        <v>6</v>
      </c>
      <c r="S24" s="221">
        <v>3</v>
      </c>
      <c r="T24" s="32">
        <f>SUM(S15:S24)</f>
        <v>35</v>
      </c>
    </row>
    <row r="25" spans="1:20" s="20" customFormat="1" ht="15" customHeight="1" x14ac:dyDescent="0.25">
      <c r="A25" s="146"/>
      <c r="B25" s="146"/>
      <c r="C25" s="144"/>
      <c r="D25" s="144"/>
      <c r="E25" s="144"/>
      <c r="F25" s="144"/>
      <c r="G25" s="144"/>
      <c r="H25" s="144"/>
      <c r="I25" s="3"/>
      <c r="J25" s="158">
        <v>9</v>
      </c>
      <c r="K25" s="162">
        <v>4</v>
      </c>
      <c r="L25" s="191">
        <f>SUM(K15:K25)</f>
        <v>50</v>
      </c>
      <c r="N25" s="167">
        <v>7</v>
      </c>
      <c r="O25" s="84">
        <f t="shared" si="2"/>
        <v>0</v>
      </c>
      <c r="P25" s="32">
        <f>SUM(O15:O25)</f>
        <v>10</v>
      </c>
      <c r="R25" s="167">
        <v>7</v>
      </c>
      <c r="S25" s="221">
        <v>3</v>
      </c>
      <c r="T25" s="32">
        <f>SUM(S15:S25)</f>
        <v>38</v>
      </c>
    </row>
    <row r="26" spans="1:20" x14ac:dyDescent="0.25">
      <c r="A26" s="131"/>
      <c r="B26" s="131"/>
      <c r="C26" s="145"/>
      <c r="D26" s="145"/>
      <c r="E26" s="145"/>
      <c r="F26" s="145"/>
      <c r="G26" s="145"/>
      <c r="H26" s="23"/>
      <c r="I26" s="3"/>
      <c r="J26" s="158">
        <v>10</v>
      </c>
      <c r="K26" s="162">
        <v>4</v>
      </c>
      <c r="L26" s="191">
        <f>SUM(K15:K26)</f>
        <v>54</v>
      </c>
      <c r="N26" s="167">
        <v>8</v>
      </c>
      <c r="O26" s="84">
        <f t="shared" si="2"/>
        <v>0</v>
      </c>
      <c r="P26" s="32">
        <f>SUM(O15:O26)</f>
        <v>10</v>
      </c>
      <c r="Q26" s="1"/>
      <c r="R26" s="167">
        <v>8</v>
      </c>
      <c r="S26" s="84">
        <v>3</v>
      </c>
      <c r="T26" s="32">
        <f>SUM(S15:S26)</f>
        <v>41</v>
      </c>
    </row>
    <row r="27" spans="1:20" ht="15.75" thickBot="1" x14ac:dyDescent="0.3">
      <c r="A27" s="3"/>
      <c r="B27" s="3"/>
      <c r="C27" s="3"/>
      <c r="D27" s="3"/>
      <c r="E27" s="3"/>
      <c r="F27" s="3"/>
      <c r="G27" s="3"/>
      <c r="H27" s="3"/>
      <c r="I27" s="3"/>
      <c r="J27" s="59">
        <v>11</v>
      </c>
      <c r="K27" s="162">
        <v>4</v>
      </c>
      <c r="L27" s="191">
        <f>SUM(K15:K27)</f>
        <v>58</v>
      </c>
      <c r="N27" s="167">
        <v>9</v>
      </c>
      <c r="O27" s="84">
        <f t="shared" si="2"/>
        <v>0</v>
      </c>
      <c r="P27" s="32">
        <f>SUM(O15:O27)</f>
        <v>10</v>
      </c>
      <c r="Q27" s="1"/>
      <c r="R27" s="167">
        <v>9</v>
      </c>
      <c r="S27" s="84">
        <v>3</v>
      </c>
      <c r="T27" s="32">
        <f>SUM(S15:S27)</f>
        <v>44</v>
      </c>
    </row>
    <row r="28" spans="1:20" ht="26.25" thickBot="1" x14ac:dyDescent="0.3">
      <c r="A28" s="497" t="s">
        <v>92</v>
      </c>
      <c r="B28" s="498"/>
      <c r="C28" s="76" t="s">
        <v>87</v>
      </c>
      <c r="D28" s="76" t="s">
        <v>88</v>
      </c>
      <c r="E28" s="76" t="s">
        <v>64</v>
      </c>
      <c r="F28" s="76" t="s">
        <v>63</v>
      </c>
      <c r="G28" s="76" t="s">
        <v>65</v>
      </c>
      <c r="H28" s="77" t="s">
        <v>66</v>
      </c>
      <c r="I28" s="3"/>
      <c r="J28" s="158">
        <v>12</v>
      </c>
      <c r="K28" s="162">
        <v>4</v>
      </c>
      <c r="L28" s="191">
        <f>SUM(K15:K28)</f>
        <v>62</v>
      </c>
      <c r="N28" s="167">
        <v>10</v>
      </c>
      <c r="O28" s="84">
        <f t="shared" si="2"/>
        <v>0</v>
      </c>
      <c r="P28" s="32">
        <f>SUM(O15:O28)</f>
        <v>10</v>
      </c>
      <c r="Q28" s="1"/>
      <c r="R28" s="167">
        <v>10</v>
      </c>
      <c r="S28" s="84">
        <v>3</v>
      </c>
      <c r="T28" s="32">
        <f>SUM(S15:S28)</f>
        <v>47</v>
      </c>
    </row>
    <row r="29" spans="1:20" x14ac:dyDescent="0.25">
      <c r="A29" s="499" t="s">
        <v>73</v>
      </c>
      <c r="B29" s="500"/>
      <c r="C29" s="34">
        <f>pe_coma</f>
        <v>0</v>
      </c>
      <c r="D29" s="83"/>
      <c r="E29" s="83"/>
      <c r="F29" s="83"/>
      <c r="G29" s="83"/>
      <c r="H29" s="35">
        <f t="shared" ref="H29:H40" si="3">SUM(C29:G29)</f>
        <v>0</v>
      </c>
      <c r="J29" s="158">
        <v>13</v>
      </c>
      <c r="K29" s="162">
        <v>4</v>
      </c>
      <c r="L29" s="191">
        <f>SUM(K15:K29)</f>
        <v>66</v>
      </c>
      <c r="N29" s="167">
        <v>11</v>
      </c>
      <c r="O29" s="84">
        <f t="shared" si="2"/>
        <v>0</v>
      </c>
      <c r="P29" s="32">
        <f>SUM(O15:O29)</f>
        <v>10</v>
      </c>
      <c r="Q29" s="1"/>
      <c r="R29" s="167">
        <v>11</v>
      </c>
      <c r="S29" s="84">
        <v>3</v>
      </c>
      <c r="T29" s="32">
        <f>SUM(S15:S29)</f>
        <v>50</v>
      </c>
    </row>
    <row r="30" spans="1:20" x14ac:dyDescent="0.25">
      <c r="A30" s="501" t="s">
        <v>95</v>
      </c>
      <c r="B30" s="502"/>
      <c r="C30" s="2">
        <f>me_psi</f>
        <v>0</v>
      </c>
      <c r="D30" s="84"/>
      <c r="E30" s="84"/>
      <c r="F30" s="84"/>
      <c r="G30" s="84"/>
      <c r="H30" s="32">
        <f t="shared" si="3"/>
        <v>0</v>
      </c>
      <c r="J30" s="158">
        <v>14</v>
      </c>
      <c r="K30" s="162">
        <v>4</v>
      </c>
      <c r="L30" s="191">
        <f>SUM(K15:K30)</f>
        <v>70</v>
      </c>
      <c r="N30" s="167">
        <v>12</v>
      </c>
      <c r="O30" s="84">
        <f t="shared" si="2"/>
        <v>0</v>
      </c>
      <c r="P30" s="32">
        <f>SUM(O15:O30)</f>
        <v>10</v>
      </c>
      <c r="Q30" s="1"/>
      <c r="R30" s="167">
        <v>12</v>
      </c>
      <c r="S30" s="84">
        <v>3</v>
      </c>
      <c r="T30" s="32">
        <f>SUM(S15:S30)</f>
        <v>53</v>
      </c>
    </row>
    <row r="31" spans="1:20" ht="15.75" thickBot="1" x14ac:dyDescent="0.3">
      <c r="A31" s="501" t="s">
        <v>69</v>
      </c>
      <c r="B31" s="502"/>
      <c r="C31" s="15">
        <f>me_insane</f>
        <v>0</v>
      </c>
      <c r="D31" s="84"/>
      <c r="E31" s="84"/>
      <c r="F31" s="84"/>
      <c r="G31" s="84"/>
      <c r="H31" s="32">
        <f t="shared" si="3"/>
        <v>0</v>
      </c>
      <c r="J31" s="160">
        <v>15</v>
      </c>
      <c r="K31" s="161">
        <v>4</v>
      </c>
      <c r="L31" s="220">
        <f>SUM(K15:K31)</f>
        <v>74</v>
      </c>
      <c r="N31" s="167">
        <v>13</v>
      </c>
      <c r="O31" s="84">
        <f t="shared" si="2"/>
        <v>0</v>
      </c>
      <c r="P31" s="32">
        <f>SUM(O15:O31)</f>
        <v>10</v>
      </c>
      <c r="Q31" s="1"/>
      <c r="R31" s="167">
        <v>13</v>
      </c>
      <c r="S31" s="84">
        <v>3</v>
      </c>
      <c r="T31" s="32">
        <f>SUM(S15:S31)</f>
        <v>56</v>
      </c>
    </row>
    <row r="32" spans="1:20" x14ac:dyDescent="0.25">
      <c r="A32" s="501" t="s">
        <v>94</v>
      </c>
      <c r="B32" s="502"/>
      <c r="C32" s="2">
        <f>pe_magic</f>
        <v>0</v>
      </c>
      <c r="D32" s="84"/>
      <c r="E32" s="84">
        <v>1</v>
      </c>
      <c r="F32" s="84"/>
      <c r="G32" s="84"/>
      <c r="H32" s="32">
        <f t="shared" si="3"/>
        <v>1</v>
      </c>
      <c r="J32" s="16"/>
      <c r="K32" s="16"/>
      <c r="L32" s="16"/>
      <c r="N32" s="167">
        <v>14</v>
      </c>
      <c r="O32" s="84">
        <f t="shared" si="2"/>
        <v>0</v>
      </c>
      <c r="P32" s="32">
        <f>SUM(O15:O32)</f>
        <v>10</v>
      </c>
      <c r="Q32" s="1"/>
      <c r="R32" s="167">
        <v>14</v>
      </c>
      <c r="S32" s="84">
        <v>3</v>
      </c>
      <c r="T32" s="32">
        <f>SUM(S15:S32)</f>
        <v>59</v>
      </c>
    </row>
    <row r="33" spans="1:20" s="1" customFormat="1" ht="15.75" thickBot="1" x14ac:dyDescent="0.3">
      <c r="A33" s="523" t="s">
        <v>101</v>
      </c>
      <c r="B33" s="524"/>
      <c r="C33" s="2">
        <f>pe_magic</f>
        <v>0</v>
      </c>
      <c r="D33" s="84"/>
      <c r="E33" s="84"/>
      <c r="F33" s="84"/>
      <c r="G33" s="84"/>
      <c r="H33" s="32">
        <f t="shared" si="3"/>
        <v>0</v>
      </c>
      <c r="N33" s="169">
        <v>15</v>
      </c>
      <c r="O33" s="90">
        <f t="shared" si="2"/>
        <v>0</v>
      </c>
      <c r="P33" s="168">
        <f>SUM(O15:O33)</f>
        <v>10</v>
      </c>
      <c r="R33" s="169">
        <v>15</v>
      </c>
      <c r="S33" s="90">
        <v>3</v>
      </c>
      <c r="T33" s="168">
        <f>SUM(S15:S33)</f>
        <v>62</v>
      </c>
    </row>
    <row r="34" spans="1:20" x14ac:dyDescent="0.25">
      <c r="A34" s="501" t="s">
        <v>103</v>
      </c>
      <c r="B34" s="502"/>
      <c r="C34" s="2">
        <f>pe_magic</f>
        <v>0</v>
      </c>
      <c r="D34" s="84"/>
      <c r="E34" s="84"/>
      <c r="F34" s="84"/>
      <c r="G34" s="84"/>
      <c r="H34" s="32">
        <f t="shared" si="3"/>
        <v>0</v>
      </c>
      <c r="N34" s="20"/>
      <c r="O34" s="20"/>
      <c r="P34" s="20"/>
      <c r="Q34" s="1"/>
      <c r="R34" s="20"/>
      <c r="S34" s="20"/>
      <c r="T34" s="20"/>
    </row>
    <row r="35" spans="1:20" x14ac:dyDescent="0.25">
      <c r="A35" s="501" t="s">
        <v>97</v>
      </c>
      <c r="B35" s="502"/>
      <c r="C35" s="2">
        <f>pe_magic</f>
        <v>0</v>
      </c>
      <c r="D35" s="84"/>
      <c r="E35" s="84"/>
      <c r="F35" s="84"/>
      <c r="G35" s="84"/>
      <c r="H35" s="32">
        <f t="shared" si="3"/>
        <v>0</v>
      </c>
    </row>
    <row r="36" spans="1:20" x14ac:dyDescent="0.25">
      <c r="A36" s="501" t="s">
        <v>96</v>
      </c>
      <c r="B36" s="502"/>
      <c r="C36" s="19"/>
      <c r="D36" s="84">
        <f>IF(calc_lev&gt;12, 5, IF(calc_lev&gt;9, 4, IF(calc_lev&gt;6, 3, IF(calc_lev&gt;2, 2, 1))))</f>
        <v>1</v>
      </c>
      <c r="E36" s="84">
        <v>2</v>
      </c>
      <c r="F36" s="84"/>
      <c r="G36" s="84"/>
      <c r="H36" s="32">
        <f t="shared" si="3"/>
        <v>3</v>
      </c>
    </row>
    <row r="37" spans="1:20" s="1" customFormat="1" x14ac:dyDescent="0.25">
      <c r="A37" s="523" t="s">
        <v>102</v>
      </c>
      <c r="B37" s="524"/>
      <c r="C37" s="19"/>
      <c r="D37" s="84"/>
      <c r="E37" s="84"/>
      <c r="F37" s="84"/>
      <c r="G37" s="84"/>
      <c r="H37" s="32">
        <f t="shared" si="3"/>
        <v>0</v>
      </c>
    </row>
    <row r="38" spans="1:20" x14ac:dyDescent="0.25">
      <c r="A38" s="501" t="s">
        <v>98</v>
      </c>
      <c r="B38" s="502"/>
      <c r="C38" s="15">
        <f>IF(total_iq&gt;48, 7, IF(total_iq&gt;30, ROUNDUP((total_iq-30)/3,0), 0))</f>
        <v>0</v>
      </c>
      <c r="D38" s="84"/>
      <c r="E38" s="84"/>
      <c r="F38" s="84"/>
      <c r="G38" s="84"/>
      <c r="H38" s="32">
        <f t="shared" si="3"/>
        <v>0</v>
      </c>
    </row>
    <row r="39" spans="1:20" x14ac:dyDescent="0.25">
      <c r="A39" s="501" t="s">
        <v>99</v>
      </c>
      <c r="B39" s="502"/>
      <c r="C39" s="15">
        <f>IF(total_me&gt;30, ROUNDUP((total_me-30)/10,0), 0)</f>
        <v>0</v>
      </c>
      <c r="D39" s="84"/>
      <c r="E39" s="84">
        <v>2</v>
      </c>
      <c r="F39" s="84"/>
      <c r="G39" s="84"/>
      <c r="H39" s="32">
        <f t="shared" si="3"/>
        <v>2</v>
      </c>
    </row>
    <row r="40" spans="1:20" ht="15.75" thickBot="1" x14ac:dyDescent="0.3">
      <c r="A40" s="514" t="s">
        <v>100</v>
      </c>
      <c r="B40" s="515"/>
      <c r="C40" s="55"/>
      <c r="D40" s="85"/>
      <c r="E40" s="85"/>
      <c r="F40" s="85"/>
      <c r="G40" s="85"/>
      <c r="H40" s="36">
        <f t="shared" si="3"/>
        <v>0</v>
      </c>
    </row>
    <row r="41" spans="1:20" ht="15" customHeight="1" x14ac:dyDescent="0.25">
      <c r="A41" s="505" t="s">
        <v>105</v>
      </c>
      <c r="B41" s="506"/>
      <c r="C41" s="506"/>
      <c r="D41" s="506"/>
      <c r="E41" s="506"/>
      <c r="F41" s="506"/>
      <c r="G41" s="506"/>
      <c r="H41" s="507"/>
    </row>
    <row r="42" spans="1:20" x14ac:dyDescent="0.25">
      <c r="A42" s="508"/>
      <c r="B42" s="509"/>
      <c r="C42" s="509"/>
      <c r="D42" s="509"/>
      <c r="E42" s="509"/>
      <c r="F42" s="509"/>
      <c r="G42" s="509"/>
      <c r="H42" s="510"/>
    </row>
    <row r="43" spans="1:20" x14ac:dyDescent="0.25">
      <c r="A43" s="508"/>
      <c r="B43" s="509"/>
      <c r="C43" s="509"/>
      <c r="D43" s="509"/>
      <c r="E43" s="509"/>
      <c r="F43" s="509"/>
      <c r="G43" s="509"/>
      <c r="H43" s="510"/>
    </row>
    <row r="44" spans="1:20" x14ac:dyDescent="0.25">
      <c r="A44" s="508"/>
      <c r="B44" s="509"/>
      <c r="C44" s="509"/>
      <c r="D44" s="509"/>
      <c r="E44" s="509"/>
      <c r="F44" s="509"/>
      <c r="G44" s="509"/>
      <c r="H44" s="510"/>
    </row>
    <row r="45" spans="1:20" ht="15.75" thickBot="1" x14ac:dyDescent="0.3">
      <c r="A45" s="511"/>
      <c r="B45" s="512"/>
      <c r="C45" s="512"/>
      <c r="D45" s="512"/>
      <c r="E45" s="512"/>
      <c r="F45" s="512"/>
      <c r="G45" s="512"/>
      <c r="H45" s="513"/>
    </row>
    <row r="46" spans="1:20" ht="15.75" thickBot="1" x14ac:dyDescent="0.3">
      <c r="Q46" s="23"/>
      <c r="R46" s="20"/>
    </row>
    <row r="47" spans="1:20" x14ac:dyDescent="0.25">
      <c r="A47" s="503"/>
      <c r="B47" s="503"/>
      <c r="C47" s="144"/>
      <c r="D47" s="144"/>
      <c r="E47" s="144"/>
      <c r="F47" s="144"/>
      <c r="G47" s="144"/>
      <c r="H47" s="144"/>
      <c r="J47" s="482" t="s">
        <v>135</v>
      </c>
      <c r="K47" s="483"/>
      <c r="L47" s="170"/>
      <c r="Q47" s="23"/>
      <c r="R47" s="20"/>
    </row>
    <row r="48" spans="1:20" x14ac:dyDescent="0.25">
      <c r="A48" s="504"/>
      <c r="B48" s="504"/>
      <c r="C48" s="145"/>
      <c r="D48" s="145"/>
      <c r="E48" s="145"/>
      <c r="F48" s="145"/>
      <c r="G48" s="145"/>
      <c r="H48" s="23"/>
      <c r="J48" s="484" t="str">
        <f>_xlfn.IFNA(VLOOKUP(occ_select, ps_select, 2, FALSE), "")</f>
        <v>Normal</v>
      </c>
      <c r="K48" s="485"/>
      <c r="L48" s="171"/>
      <c r="Q48" s="23"/>
      <c r="R48" s="20"/>
    </row>
    <row r="49" spans="10:12" x14ac:dyDescent="0.25">
      <c r="J49" s="78" t="s">
        <v>134</v>
      </c>
      <c r="K49" s="37">
        <f>IF(total_ps&gt;30, (ROUNDDOWN((total_ps-30)/5, 0)*30), 0)</f>
        <v>0</v>
      </c>
      <c r="L49" s="23"/>
    </row>
    <row r="50" spans="10:12" x14ac:dyDescent="0.25">
      <c r="J50" s="486" t="s">
        <v>10</v>
      </c>
      <c r="K50" s="487"/>
      <c r="L50" s="170"/>
    </row>
    <row r="51" spans="10:12" x14ac:dyDescent="0.25">
      <c r="J51" s="123" t="s">
        <v>137</v>
      </c>
      <c r="K51" s="37">
        <f>IF(total_ps&gt;30, ((total_ps+total_ps*excel_carry%)*20), IF(total_ps&gt;16,total_ps*20, total_ps*10))</f>
        <v>500</v>
      </c>
      <c r="L51" s="23"/>
    </row>
    <row r="52" spans="10:12" x14ac:dyDescent="0.25">
      <c r="J52" s="39" t="s">
        <v>138</v>
      </c>
      <c r="K52" s="37">
        <f>IF(total_ps&gt;30, ((total_ps+total_ps*excel_carry%)*20), IF(total_ps&gt;16,total_ps*20, total_ps*10))</f>
        <v>500</v>
      </c>
      <c r="L52" s="23"/>
    </row>
    <row r="53" spans="10:12" x14ac:dyDescent="0.25">
      <c r="J53" s="39" t="s">
        <v>136</v>
      </c>
      <c r="K53" s="37">
        <f>IF(total_ps&gt;30, ((total_ps+total_ps*excel_carry%)*50), IF(total_ps&gt;17,total_ps*50, total_ps*20))</f>
        <v>1250</v>
      </c>
      <c r="L53" s="23"/>
    </row>
    <row r="54" spans="10:12" s="1" customFormat="1" x14ac:dyDescent="0.25">
      <c r="J54" s="488" t="s">
        <v>139</v>
      </c>
      <c r="K54" s="489"/>
      <c r="L54" s="163"/>
    </row>
    <row r="55" spans="10:12" x14ac:dyDescent="0.25">
      <c r="J55" s="39" t="s">
        <v>137</v>
      </c>
      <c r="K55" s="37">
        <f>IF(total_ps&gt;19, (total_ps+200+excel_carry), total_ps+50)</f>
        <v>225</v>
      </c>
      <c r="L55" s="23"/>
    </row>
    <row r="56" spans="10:12" x14ac:dyDescent="0.25">
      <c r="J56" s="39" t="s">
        <v>138</v>
      </c>
      <c r="K56" s="37">
        <f>total_ps+200+excel_carry</f>
        <v>225</v>
      </c>
      <c r="L56" s="23"/>
    </row>
    <row r="57" spans="10:12" x14ac:dyDescent="0.25">
      <c r="J57" s="39" t="s">
        <v>136</v>
      </c>
      <c r="K57" s="37">
        <f>IF(total_ps&gt;17, (total_ps+300+excel_carry), total_ps+200)</f>
        <v>325</v>
      </c>
      <c r="L57" s="23"/>
    </row>
    <row r="58" spans="10:12" s="1" customFormat="1" x14ac:dyDescent="0.25">
      <c r="J58" s="480" t="s">
        <v>140</v>
      </c>
      <c r="K58" s="481"/>
      <c r="L58" s="170"/>
    </row>
    <row r="59" spans="10:12" x14ac:dyDescent="0.25">
      <c r="J59" s="39" t="s">
        <v>137</v>
      </c>
      <c r="K59" s="37">
        <f>norm_throw/2</f>
        <v>112.5</v>
      </c>
      <c r="L59" s="23"/>
    </row>
    <row r="60" spans="10:12" x14ac:dyDescent="0.25">
      <c r="J60" s="39" t="s">
        <v>138</v>
      </c>
      <c r="K60" s="37">
        <f>giant_throw/2</f>
        <v>112.5</v>
      </c>
      <c r="L60" s="23"/>
    </row>
    <row r="61" spans="10:12" x14ac:dyDescent="0.25">
      <c r="J61" s="39" t="s">
        <v>136</v>
      </c>
      <c r="K61" s="37">
        <f>IF(total_ps&gt;17, (total_ps+200+excel_carry), super_throw/2)</f>
        <v>225</v>
      </c>
      <c r="L61" s="23"/>
    </row>
    <row r="62" spans="10:12" s="1" customFormat="1" x14ac:dyDescent="0.25">
      <c r="J62" s="480" t="s">
        <v>141</v>
      </c>
      <c r="K62" s="481"/>
      <c r="L62" s="170"/>
    </row>
    <row r="63" spans="10:12" x14ac:dyDescent="0.25">
      <c r="J63" s="39" t="s">
        <v>137</v>
      </c>
      <c r="K63" s="37">
        <f>total_ps/3</f>
        <v>8.3333333333333339</v>
      </c>
      <c r="L63" s="23"/>
    </row>
    <row r="64" spans="10:12" x14ac:dyDescent="0.25">
      <c r="J64" s="39" t="s">
        <v>138</v>
      </c>
      <c r="K64" s="37">
        <f>total_ps/3</f>
        <v>8.3333333333333339</v>
      </c>
      <c r="L64" s="23"/>
    </row>
    <row r="65" spans="10:12" ht="15.75" thickBot="1" x14ac:dyDescent="0.3">
      <c r="J65" s="45" t="s">
        <v>136</v>
      </c>
      <c r="K65" s="49">
        <f>total_ps</f>
        <v>25</v>
      </c>
      <c r="L65" s="23"/>
    </row>
    <row r="66" spans="10:12" ht="15.75" thickBot="1" x14ac:dyDescent="0.3">
      <c r="J66" s="20"/>
      <c r="K66" s="20"/>
      <c r="L66" s="20"/>
    </row>
    <row r="67" spans="10:12" ht="15.75" thickBot="1" x14ac:dyDescent="0.3">
      <c r="J67" s="490" t="s">
        <v>120</v>
      </c>
      <c r="K67" s="491"/>
      <c r="L67" s="170"/>
    </row>
    <row r="68" spans="10:12" x14ac:dyDescent="0.25">
      <c r="J68" s="53" t="s">
        <v>121</v>
      </c>
      <c r="K68" s="54" t="s">
        <v>119</v>
      </c>
      <c r="L68" s="172"/>
    </row>
    <row r="69" spans="10:12" x14ac:dyDescent="0.25">
      <c r="J69" s="38" t="s">
        <v>122</v>
      </c>
      <c r="K69" s="37" t="s">
        <v>25</v>
      </c>
      <c r="L69" s="23"/>
    </row>
    <row r="70" spans="10:12" ht="15.75" thickBot="1" x14ac:dyDescent="0.3">
      <c r="J70" s="51" t="s">
        <v>127</v>
      </c>
      <c r="K70" s="52" t="s">
        <v>37</v>
      </c>
      <c r="L70" s="23"/>
    </row>
    <row r="71" spans="10:12" x14ac:dyDescent="0.25">
      <c r="J71" s="20"/>
      <c r="K71" s="20"/>
      <c r="L71" s="20"/>
    </row>
    <row r="72" spans="10:12" x14ac:dyDescent="0.25">
      <c r="J72" s="20"/>
      <c r="K72" s="20"/>
      <c r="L72" s="20"/>
    </row>
  </sheetData>
  <sheetProtection algorithmName="SHA-512" hashValue="l4lmyUEZd4BDDJh7885stHr53G19DaeYe3LITVzYMRbf/88/LKOgWQCxiOCy1aLt34xCMaEGVNetQHjkzaO9lQ==" saltValue="8wBhZ+KNyK1SWzSdEduKMA==" spinCount="100000" sheet="1" selectLockedCells="1"/>
  <mergeCells count="49">
    <mergeCell ref="A2:K2"/>
    <mergeCell ref="A1:K1"/>
    <mergeCell ref="M12:W12"/>
    <mergeCell ref="A37:B37"/>
    <mergeCell ref="A33:B33"/>
    <mergeCell ref="H9:J9"/>
    <mergeCell ref="H11:J11"/>
    <mergeCell ref="H12:K12"/>
    <mergeCell ref="H4:K4"/>
    <mergeCell ref="H5:J5"/>
    <mergeCell ref="H7:J7"/>
    <mergeCell ref="H8:J8"/>
    <mergeCell ref="N14:P14"/>
    <mergeCell ref="R14:T14"/>
    <mergeCell ref="J14:L14"/>
    <mergeCell ref="L15:L16"/>
    <mergeCell ref="A47:B47"/>
    <mergeCell ref="A48:B48"/>
    <mergeCell ref="A41:H45"/>
    <mergeCell ref="A39:B39"/>
    <mergeCell ref="A34:B34"/>
    <mergeCell ref="A35:B35"/>
    <mergeCell ref="A36:B36"/>
    <mergeCell ref="A38:B38"/>
    <mergeCell ref="A40:B40"/>
    <mergeCell ref="J67:K67"/>
    <mergeCell ref="A20:B20"/>
    <mergeCell ref="A21:B21"/>
    <mergeCell ref="A14:B14"/>
    <mergeCell ref="A22:B22"/>
    <mergeCell ref="A23:B23"/>
    <mergeCell ref="A15:B15"/>
    <mergeCell ref="A16:B16"/>
    <mergeCell ref="A17:B17"/>
    <mergeCell ref="A18:B18"/>
    <mergeCell ref="A19:B19"/>
    <mergeCell ref="A28:B28"/>
    <mergeCell ref="A29:B29"/>
    <mergeCell ref="A32:B32"/>
    <mergeCell ref="A30:B30"/>
    <mergeCell ref="A31:B31"/>
    <mergeCell ref="P15:P18"/>
    <mergeCell ref="T15:T18"/>
    <mergeCell ref="J58:K58"/>
    <mergeCell ref="J62:K62"/>
    <mergeCell ref="J47:K47"/>
    <mergeCell ref="J48:K48"/>
    <mergeCell ref="J50:K50"/>
    <mergeCell ref="J54:K54"/>
  </mergeCells>
  <dataValidations count="1">
    <dataValidation type="list" allowBlank="1" showInputMessage="1" showErrorMessage="1" sqref="J49:L50" xr:uid="{00000000-0002-0000-0300-000000000000}">
      <formula1>"Normal, Giant, Supernatural"</formula1>
    </dataValidation>
  </dataValidation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N58"/>
  <sheetViews>
    <sheetView zoomScaleNormal="100" workbookViewId="0">
      <pane ySplit="1" topLeftCell="A29" activePane="bottomLeft" state="frozen"/>
      <selection pane="bottomLeft" activeCell="C52" sqref="C52"/>
    </sheetView>
  </sheetViews>
  <sheetFormatPr defaultRowHeight="15" x14ac:dyDescent="0.25"/>
  <cols>
    <col min="1" max="3" width="8.140625" customWidth="1"/>
    <col min="4" max="4" width="4.28515625" customWidth="1"/>
    <col min="5" max="5" width="6" style="1" customWidth="1"/>
    <col min="6" max="6" width="6.140625" style="1" customWidth="1"/>
    <col min="7" max="7" width="5.42578125" customWidth="1"/>
    <col min="8" max="8" width="8.5703125" style="1" customWidth="1"/>
    <col min="9" max="10" width="6.140625" customWidth="1"/>
    <col min="11" max="11" width="5.28515625" customWidth="1"/>
    <col min="12" max="12" width="5.7109375" customWidth="1"/>
    <col min="13" max="14" width="6.140625" style="1" customWidth="1"/>
  </cols>
  <sheetData>
    <row r="1" spans="1:14" s="1" customFormat="1" ht="28.5" customHeight="1" thickBot="1" x14ac:dyDescent="0.3">
      <c r="A1" s="543" t="s">
        <v>24</v>
      </c>
      <c r="B1" s="544"/>
      <c r="C1" s="545"/>
      <c r="D1" s="63" t="s">
        <v>46</v>
      </c>
      <c r="E1" s="64" t="s">
        <v>123</v>
      </c>
      <c r="F1" s="64" t="s">
        <v>125</v>
      </c>
      <c r="G1" s="64" t="s">
        <v>45</v>
      </c>
      <c r="H1" s="64" t="s">
        <v>149</v>
      </c>
      <c r="I1" s="64" t="s">
        <v>88</v>
      </c>
      <c r="J1" s="64" t="s">
        <v>148</v>
      </c>
      <c r="K1" s="65" t="s">
        <v>47</v>
      </c>
      <c r="L1" s="121" t="s">
        <v>48</v>
      </c>
      <c r="M1" s="66" t="s">
        <v>124</v>
      </c>
      <c r="N1" s="67" t="s">
        <v>126</v>
      </c>
    </row>
    <row r="2" spans="1:14" x14ac:dyDescent="0.25">
      <c r="A2" s="549" t="s">
        <v>294</v>
      </c>
      <c r="B2" s="550"/>
      <c r="C2" s="551"/>
      <c r="D2" s="119">
        <v>30</v>
      </c>
      <c r="E2" s="109"/>
      <c r="F2" s="110"/>
      <c r="G2" s="111">
        <v>5</v>
      </c>
      <c r="H2" s="111">
        <v>1</v>
      </c>
      <c r="I2" s="111"/>
      <c r="J2" s="112">
        <f>'C1-WT'!K5</f>
        <v>0</v>
      </c>
      <c r="K2" s="113"/>
      <c r="L2" s="114">
        <f t="shared" ref="L2:L46" si="0">D2+SUM(I2:K2)+G2*(calc_lev-H2)</f>
        <v>30</v>
      </c>
      <c r="M2" s="115">
        <f t="shared" ref="M2:M46" si="1">IF(E2="", 0, E2+SUM(I2:K2)+G2*(calc_lev-H2))</f>
        <v>0</v>
      </c>
      <c r="N2" s="116">
        <f t="shared" ref="N2:N46" si="2">IF(F2="", 0, F2+SUM(I2:K2)+G2*(calc_lev-H2))</f>
        <v>0</v>
      </c>
    </row>
    <row r="3" spans="1:14" x14ac:dyDescent="0.25">
      <c r="A3" s="546" t="s">
        <v>295</v>
      </c>
      <c r="B3" s="547"/>
      <c r="C3" s="548"/>
      <c r="D3" s="95">
        <v>10</v>
      </c>
      <c r="E3" s="86"/>
      <c r="F3" s="87"/>
      <c r="G3" s="84">
        <v>5</v>
      </c>
      <c r="H3" s="84">
        <v>1</v>
      </c>
      <c r="I3" s="84"/>
      <c r="J3" s="2">
        <f>'C1-WT'!K5</f>
        <v>0</v>
      </c>
      <c r="K3" s="92"/>
      <c r="L3" s="97">
        <f t="shared" si="0"/>
        <v>10</v>
      </c>
      <c r="M3" s="68">
        <f t="shared" si="1"/>
        <v>0</v>
      </c>
      <c r="N3" s="69">
        <f t="shared" si="2"/>
        <v>0</v>
      </c>
    </row>
    <row r="4" spans="1:14" x14ac:dyDescent="0.25">
      <c r="A4" s="546" t="s">
        <v>296</v>
      </c>
      <c r="B4" s="547"/>
      <c r="C4" s="548"/>
      <c r="D4" s="95">
        <v>20</v>
      </c>
      <c r="E4" s="86"/>
      <c r="F4" s="87"/>
      <c r="G4" s="84">
        <v>5</v>
      </c>
      <c r="H4" s="84">
        <v>1</v>
      </c>
      <c r="I4" s="84"/>
      <c r="J4" s="2">
        <f>'C1-WT'!K5</f>
        <v>0</v>
      </c>
      <c r="K4" s="92"/>
      <c r="L4" s="97">
        <f t="shared" si="0"/>
        <v>20</v>
      </c>
      <c r="M4" s="68">
        <f t="shared" si="1"/>
        <v>0</v>
      </c>
      <c r="N4" s="69">
        <f t="shared" si="2"/>
        <v>0</v>
      </c>
    </row>
    <row r="5" spans="1:14" x14ac:dyDescent="0.25">
      <c r="A5" s="552" t="s">
        <v>370</v>
      </c>
      <c r="B5" s="553"/>
      <c r="C5" s="554"/>
      <c r="D5" s="95">
        <v>30</v>
      </c>
      <c r="E5" s="86"/>
      <c r="F5" s="87"/>
      <c r="G5" s="84">
        <v>5</v>
      </c>
      <c r="H5" s="83">
        <v>1</v>
      </c>
      <c r="I5" s="84"/>
      <c r="J5" s="2">
        <f>'C1-WT'!K5</f>
        <v>0</v>
      </c>
      <c r="K5" s="92">
        <v>10</v>
      </c>
      <c r="L5" s="97">
        <f t="shared" si="0"/>
        <v>40</v>
      </c>
      <c r="M5" s="68">
        <f t="shared" si="1"/>
        <v>0</v>
      </c>
      <c r="N5" s="69">
        <f t="shared" si="2"/>
        <v>0</v>
      </c>
    </row>
    <row r="6" spans="1:14" x14ac:dyDescent="0.25">
      <c r="A6" s="546" t="s">
        <v>342</v>
      </c>
      <c r="B6" s="547"/>
      <c r="C6" s="548"/>
      <c r="D6" s="95">
        <v>25</v>
      </c>
      <c r="E6" s="86"/>
      <c r="F6" s="87"/>
      <c r="G6" s="84">
        <v>5</v>
      </c>
      <c r="H6" s="84">
        <v>1</v>
      </c>
      <c r="I6" s="84"/>
      <c r="J6" s="2">
        <f>'C1-WT'!K5</f>
        <v>0</v>
      </c>
      <c r="K6" s="92">
        <v>10</v>
      </c>
      <c r="L6" s="97">
        <f t="shared" si="0"/>
        <v>35</v>
      </c>
      <c r="M6" s="68">
        <f t="shared" si="1"/>
        <v>0</v>
      </c>
      <c r="N6" s="69">
        <f t="shared" si="2"/>
        <v>0</v>
      </c>
    </row>
    <row r="7" spans="1:14" x14ac:dyDescent="0.25">
      <c r="A7" s="552" t="s">
        <v>290</v>
      </c>
      <c r="B7" s="553"/>
      <c r="C7" s="554"/>
      <c r="D7" s="94">
        <v>40</v>
      </c>
      <c r="E7" s="86">
        <v>35</v>
      </c>
      <c r="F7" s="87"/>
      <c r="G7" s="84">
        <v>5</v>
      </c>
      <c r="H7" s="84">
        <v>1</v>
      </c>
      <c r="I7" s="84">
        <v>5</v>
      </c>
      <c r="J7" s="2">
        <f>'C1-WT'!K5</f>
        <v>0</v>
      </c>
      <c r="K7" s="92"/>
      <c r="L7" s="97">
        <f t="shared" si="0"/>
        <v>45</v>
      </c>
      <c r="M7" s="68">
        <f t="shared" si="1"/>
        <v>40</v>
      </c>
      <c r="N7" s="69">
        <f t="shared" si="2"/>
        <v>0</v>
      </c>
    </row>
    <row r="8" spans="1:14" x14ac:dyDescent="0.25">
      <c r="A8" s="546" t="s">
        <v>291</v>
      </c>
      <c r="B8" s="547"/>
      <c r="C8" s="548"/>
      <c r="D8" s="95"/>
      <c r="E8" s="86"/>
      <c r="F8" s="87"/>
      <c r="G8" s="84"/>
      <c r="H8" s="83">
        <v>1</v>
      </c>
      <c r="I8" s="84"/>
      <c r="J8" s="2">
        <f>'C1-WT'!K5</f>
        <v>0</v>
      </c>
      <c r="K8" s="92"/>
      <c r="L8" s="97">
        <f t="shared" si="0"/>
        <v>0</v>
      </c>
      <c r="M8" s="68">
        <f t="shared" si="1"/>
        <v>0</v>
      </c>
      <c r="N8" s="69">
        <f t="shared" si="2"/>
        <v>0</v>
      </c>
    </row>
    <row r="9" spans="1:14" x14ac:dyDescent="0.25">
      <c r="A9" s="546" t="s">
        <v>292</v>
      </c>
      <c r="B9" s="547"/>
      <c r="C9" s="548"/>
      <c r="D9" s="95"/>
      <c r="E9" s="86"/>
      <c r="F9" s="87"/>
      <c r="G9" s="84"/>
      <c r="H9" s="84">
        <v>1</v>
      </c>
      <c r="I9" s="84"/>
      <c r="J9" s="2">
        <f>'C1-WT'!K5</f>
        <v>0</v>
      </c>
      <c r="K9" s="92"/>
      <c r="L9" s="97">
        <f t="shared" si="0"/>
        <v>0</v>
      </c>
      <c r="M9" s="68">
        <f t="shared" si="1"/>
        <v>0</v>
      </c>
      <c r="N9" s="69">
        <f t="shared" si="2"/>
        <v>0</v>
      </c>
    </row>
    <row r="10" spans="1:14" x14ac:dyDescent="0.25">
      <c r="A10" s="552" t="s">
        <v>343</v>
      </c>
      <c r="B10" s="553"/>
      <c r="C10" s="554"/>
      <c r="D10" s="95">
        <v>98</v>
      </c>
      <c r="E10" s="86"/>
      <c r="F10" s="87"/>
      <c r="G10" s="84"/>
      <c r="H10" s="84">
        <v>1</v>
      </c>
      <c r="I10" s="84"/>
      <c r="J10" s="2">
        <f>'C1-WT'!K5</f>
        <v>0</v>
      </c>
      <c r="K10" s="92"/>
      <c r="L10" s="97">
        <f t="shared" si="0"/>
        <v>98</v>
      </c>
      <c r="M10" s="68">
        <f t="shared" si="1"/>
        <v>0</v>
      </c>
      <c r="N10" s="69">
        <f t="shared" si="2"/>
        <v>0</v>
      </c>
    </row>
    <row r="11" spans="1:14" x14ac:dyDescent="0.25">
      <c r="A11" s="555" t="s">
        <v>344</v>
      </c>
      <c r="B11" s="556"/>
      <c r="C11" s="557"/>
      <c r="D11" s="95">
        <v>25</v>
      </c>
      <c r="E11" s="86"/>
      <c r="F11" s="87"/>
      <c r="G11" s="84">
        <v>5</v>
      </c>
      <c r="H11" s="83">
        <v>1</v>
      </c>
      <c r="I11" s="84">
        <v>10</v>
      </c>
      <c r="J11" s="2">
        <f>'C1-WT'!K5</f>
        <v>0</v>
      </c>
      <c r="K11" s="92"/>
      <c r="L11" s="97">
        <f t="shared" si="0"/>
        <v>35</v>
      </c>
      <c r="M11" s="68">
        <f t="shared" si="1"/>
        <v>0</v>
      </c>
      <c r="N11" s="69">
        <f t="shared" si="2"/>
        <v>0</v>
      </c>
    </row>
    <row r="12" spans="1:14" x14ac:dyDescent="0.25">
      <c r="A12" s="546" t="s">
        <v>293</v>
      </c>
      <c r="B12" s="547"/>
      <c r="C12" s="548"/>
      <c r="D12" s="94">
        <v>40</v>
      </c>
      <c r="E12" s="86"/>
      <c r="F12" s="87"/>
      <c r="G12" s="84">
        <v>5</v>
      </c>
      <c r="H12" s="84">
        <v>1</v>
      </c>
      <c r="I12" s="84">
        <v>10</v>
      </c>
      <c r="J12" s="2">
        <f>'C1-WT'!K5</f>
        <v>0</v>
      </c>
      <c r="K12" s="92"/>
      <c r="L12" s="97">
        <f t="shared" si="0"/>
        <v>50</v>
      </c>
      <c r="M12" s="68">
        <f t="shared" si="1"/>
        <v>0</v>
      </c>
      <c r="N12" s="69">
        <f t="shared" si="2"/>
        <v>0</v>
      </c>
    </row>
    <row r="13" spans="1:14" x14ac:dyDescent="0.25">
      <c r="A13" s="552" t="s">
        <v>297</v>
      </c>
      <c r="B13" s="553"/>
      <c r="C13" s="554"/>
      <c r="D13" s="95">
        <v>35</v>
      </c>
      <c r="E13" s="86"/>
      <c r="F13" s="87"/>
      <c r="G13" s="84">
        <v>5</v>
      </c>
      <c r="H13" s="84">
        <v>1</v>
      </c>
      <c r="I13" s="84">
        <v>20</v>
      </c>
      <c r="J13" s="2">
        <f>'C1-WT'!K5</f>
        <v>0</v>
      </c>
      <c r="K13" s="92">
        <v>5</v>
      </c>
      <c r="L13" s="97">
        <f t="shared" si="0"/>
        <v>60</v>
      </c>
      <c r="M13" s="68">
        <f t="shared" si="1"/>
        <v>0</v>
      </c>
      <c r="N13" s="69">
        <f t="shared" si="2"/>
        <v>0</v>
      </c>
    </row>
    <row r="14" spans="1:14" x14ac:dyDescent="0.25">
      <c r="A14" s="546" t="s">
        <v>298</v>
      </c>
      <c r="B14" s="547"/>
      <c r="C14" s="548"/>
      <c r="D14" s="95"/>
      <c r="E14" s="86"/>
      <c r="F14" s="87"/>
      <c r="G14" s="84"/>
      <c r="H14" s="83">
        <v>1</v>
      </c>
      <c r="I14" s="84"/>
      <c r="J14" s="2">
        <f>'C1-WT'!K5</f>
        <v>0</v>
      </c>
      <c r="K14" s="92"/>
      <c r="L14" s="97">
        <f t="shared" si="0"/>
        <v>0</v>
      </c>
      <c r="M14" s="68">
        <f t="shared" si="1"/>
        <v>0</v>
      </c>
      <c r="N14" s="69">
        <f t="shared" si="2"/>
        <v>0</v>
      </c>
    </row>
    <row r="15" spans="1:14" x14ac:dyDescent="0.25">
      <c r="A15" s="546" t="str">
        <f>"W.P."&amp;" "&amp;IF('Primary Worksheet'!H9="Shield", "Spear", 'Primary Worksheet'!H9)</f>
        <v>W.P. Spear</v>
      </c>
      <c r="B15" s="547"/>
      <c r="C15" s="548"/>
      <c r="D15" s="95"/>
      <c r="E15" s="86"/>
      <c r="F15" s="87"/>
      <c r="G15" s="84"/>
      <c r="H15" s="84">
        <v>1</v>
      </c>
      <c r="I15" s="84"/>
      <c r="J15" s="2">
        <f>'C1-WT'!K5</f>
        <v>0</v>
      </c>
      <c r="K15" s="92"/>
      <c r="L15" s="97">
        <f t="shared" si="0"/>
        <v>0</v>
      </c>
      <c r="M15" s="68">
        <f t="shared" si="1"/>
        <v>0</v>
      </c>
      <c r="N15" s="69">
        <f t="shared" si="2"/>
        <v>0</v>
      </c>
    </row>
    <row r="16" spans="1:14" ht="15.75" thickBot="1" x14ac:dyDescent="0.3">
      <c r="A16" s="552" t="str">
        <f>"W.P."&amp;" "&amp;IF('Primary Worksheet'!H14="Shield","Blunt",'Primary Worksheet'!H14)</f>
        <v>W.P. Blunt</v>
      </c>
      <c r="B16" s="553"/>
      <c r="C16" s="554"/>
      <c r="D16" s="96"/>
      <c r="E16" s="88"/>
      <c r="F16" s="89"/>
      <c r="G16" s="90"/>
      <c r="H16" s="90">
        <v>1</v>
      </c>
      <c r="I16" s="90"/>
      <c r="J16" s="33">
        <f>'C1-WT'!K5</f>
        <v>0</v>
      </c>
      <c r="K16" s="93"/>
      <c r="L16" s="98">
        <f t="shared" si="0"/>
        <v>0</v>
      </c>
      <c r="M16" s="117">
        <f t="shared" si="1"/>
        <v>0</v>
      </c>
      <c r="N16" s="118">
        <f t="shared" si="2"/>
        <v>0</v>
      </c>
    </row>
    <row r="17" spans="1:14" x14ac:dyDescent="0.25">
      <c r="A17" s="549" t="s">
        <v>299</v>
      </c>
      <c r="B17" s="550"/>
      <c r="C17" s="551"/>
      <c r="D17" s="119">
        <v>30</v>
      </c>
      <c r="E17" s="109"/>
      <c r="F17" s="110"/>
      <c r="G17" s="111">
        <v>5</v>
      </c>
      <c r="H17" s="111">
        <v>1</v>
      </c>
      <c r="I17" s="111">
        <v>5</v>
      </c>
      <c r="J17" s="112">
        <f>'C1-WT'!K5</f>
        <v>0</v>
      </c>
      <c r="K17" s="113"/>
      <c r="L17" s="114">
        <f t="shared" si="0"/>
        <v>35</v>
      </c>
      <c r="M17" s="115">
        <f t="shared" si="1"/>
        <v>0</v>
      </c>
      <c r="N17" s="116">
        <f t="shared" si="2"/>
        <v>0</v>
      </c>
    </row>
    <row r="18" spans="1:14" x14ac:dyDescent="0.25">
      <c r="A18" s="546" t="s">
        <v>300</v>
      </c>
      <c r="B18" s="547"/>
      <c r="C18" s="548"/>
      <c r="D18" s="95">
        <v>25</v>
      </c>
      <c r="E18" s="86"/>
      <c r="F18" s="87"/>
      <c r="G18" s="84">
        <v>5</v>
      </c>
      <c r="H18" s="83">
        <v>1</v>
      </c>
      <c r="I18" s="84">
        <v>5</v>
      </c>
      <c r="J18" s="2">
        <f>'C1-WT'!K5</f>
        <v>0</v>
      </c>
      <c r="K18" s="92">
        <v>5</v>
      </c>
      <c r="L18" s="97">
        <f t="shared" si="0"/>
        <v>35</v>
      </c>
      <c r="M18" s="68">
        <f t="shared" si="1"/>
        <v>0</v>
      </c>
      <c r="N18" s="69">
        <f t="shared" si="2"/>
        <v>0</v>
      </c>
    </row>
    <row r="19" spans="1:14" x14ac:dyDescent="0.25">
      <c r="A19" s="546" t="s">
        <v>301</v>
      </c>
      <c r="B19" s="547"/>
      <c r="C19" s="548"/>
      <c r="D19" s="95">
        <v>20</v>
      </c>
      <c r="E19" s="86"/>
      <c r="F19" s="87"/>
      <c r="G19" s="84">
        <v>5</v>
      </c>
      <c r="H19" s="84">
        <v>1</v>
      </c>
      <c r="I19" s="84">
        <v>10</v>
      </c>
      <c r="J19" s="2">
        <f>'C1-WT'!K5</f>
        <v>0</v>
      </c>
      <c r="K19" s="92">
        <v>5</v>
      </c>
      <c r="L19" s="97">
        <f t="shared" si="0"/>
        <v>35</v>
      </c>
      <c r="M19" s="68">
        <f t="shared" si="1"/>
        <v>0</v>
      </c>
      <c r="N19" s="69">
        <f t="shared" si="2"/>
        <v>0</v>
      </c>
    </row>
    <row r="20" spans="1:14" x14ac:dyDescent="0.25">
      <c r="A20" s="546" t="s">
        <v>345</v>
      </c>
      <c r="B20" s="547"/>
      <c r="C20" s="548"/>
      <c r="D20" s="95">
        <v>15</v>
      </c>
      <c r="E20" s="86">
        <v>20</v>
      </c>
      <c r="F20" s="87"/>
      <c r="G20" s="84">
        <v>5</v>
      </c>
      <c r="H20" s="84">
        <v>1</v>
      </c>
      <c r="I20" s="84">
        <v>10</v>
      </c>
      <c r="J20" s="2">
        <f>'C1-WT'!K5</f>
        <v>0</v>
      </c>
      <c r="K20" s="92">
        <v>5</v>
      </c>
      <c r="L20" s="97">
        <f t="shared" si="0"/>
        <v>30</v>
      </c>
      <c r="M20" s="68">
        <f t="shared" si="1"/>
        <v>35</v>
      </c>
      <c r="N20" s="69">
        <f t="shared" si="2"/>
        <v>0</v>
      </c>
    </row>
    <row r="21" spans="1:14" x14ac:dyDescent="0.25">
      <c r="A21" s="552" t="s">
        <v>314</v>
      </c>
      <c r="B21" s="553"/>
      <c r="C21" s="554"/>
      <c r="D21" s="95">
        <v>20</v>
      </c>
      <c r="E21" s="86"/>
      <c r="F21" s="87"/>
      <c r="G21" s="84">
        <v>5</v>
      </c>
      <c r="H21" s="83">
        <v>1</v>
      </c>
      <c r="I21" s="84">
        <v>10</v>
      </c>
      <c r="J21" s="2">
        <f>'C1-WT'!K5</f>
        <v>0</v>
      </c>
      <c r="K21" s="92">
        <v>5</v>
      </c>
      <c r="L21" s="97">
        <f t="shared" si="0"/>
        <v>35</v>
      </c>
      <c r="M21" s="68">
        <f t="shared" si="1"/>
        <v>0</v>
      </c>
      <c r="N21" s="69">
        <f t="shared" si="2"/>
        <v>0</v>
      </c>
    </row>
    <row r="22" spans="1:14" x14ac:dyDescent="0.25">
      <c r="A22" s="552" t="s">
        <v>303</v>
      </c>
      <c r="B22" s="553"/>
      <c r="C22" s="554"/>
      <c r="D22" s="94">
        <v>25</v>
      </c>
      <c r="E22" s="86"/>
      <c r="F22" s="87"/>
      <c r="G22" s="84">
        <v>5</v>
      </c>
      <c r="H22" s="84">
        <v>1</v>
      </c>
      <c r="I22" s="84">
        <v>10</v>
      </c>
      <c r="J22" s="2">
        <f>'C1-WT'!K5</f>
        <v>0</v>
      </c>
      <c r="K22" s="92">
        <v>5</v>
      </c>
      <c r="L22" s="97">
        <f t="shared" si="0"/>
        <v>40</v>
      </c>
      <c r="M22" s="68">
        <f t="shared" si="1"/>
        <v>0</v>
      </c>
      <c r="N22" s="69">
        <f t="shared" si="2"/>
        <v>0</v>
      </c>
    </row>
    <row r="23" spans="1:14" x14ac:dyDescent="0.25">
      <c r="A23" s="552" t="s">
        <v>346</v>
      </c>
      <c r="B23" s="553"/>
      <c r="C23" s="554"/>
      <c r="D23" s="95">
        <v>25</v>
      </c>
      <c r="E23" s="86">
        <v>15</v>
      </c>
      <c r="F23" s="87">
        <v>10</v>
      </c>
      <c r="G23" s="84">
        <v>5</v>
      </c>
      <c r="H23" s="84">
        <v>1</v>
      </c>
      <c r="I23" s="84">
        <v>5</v>
      </c>
      <c r="J23" s="2">
        <f>'C1-WT'!K5</f>
        <v>0</v>
      </c>
      <c r="K23" s="92"/>
      <c r="L23" s="97">
        <f t="shared" si="0"/>
        <v>30</v>
      </c>
      <c r="M23" s="68">
        <f t="shared" si="1"/>
        <v>20</v>
      </c>
      <c r="N23" s="69">
        <f t="shared" si="2"/>
        <v>15</v>
      </c>
    </row>
    <row r="24" spans="1:14" x14ac:dyDescent="0.25">
      <c r="A24" s="546" t="str">
        <f>IF(VLOOKUP(hth_occ1, hth1_cost, 4, FALSE)="", "Recognize Weapon Quality", VLOOKUP(hth_occ1, hth1_cost, 4, FALSE))</f>
        <v>Recognize Weapon Quality</v>
      </c>
      <c r="B24" s="547"/>
      <c r="C24" s="548"/>
      <c r="D24" s="94">
        <f>IF(VLOOKUP(hth_occ1, hth1_cost, 4, FALSE)="", 25, 0)</f>
        <v>25</v>
      </c>
      <c r="E24" s="86"/>
      <c r="F24" s="87"/>
      <c r="G24" s="84">
        <f>IF(VLOOKUP(hth_occ1, hth1_cost, 4, FALSE)="", 5, 0)</f>
        <v>5</v>
      </c>
      <c r="H24" s="84">
        <v>1</v>
      </c>
      <c r="I24" s="84">
        <f>IF(VLOOKUP(hth_occ1, hth1_cost, 4, FALSE)="", 10, 0)</f>
        <v>10</v>
      </c>
      <c r="J24" s="2">
        <f>'C1-WT'!K5</f>
        <v>0</v>
      </c>
      <c r="K24" s="92">
        <f>IF(VLOOKUP(hth_occ1, hth1_cost, 4, FALSE)="", 5, 0)</f>
        <v>5</v>
      </c>
      <c r="L24" s="97">
        <f t="shared" si="0"/>
        <v>40</v>
      </c>
      <c r="M24" s="68">
        <f t="shared" si="1"/>
        <v>0</v>
      </c>
      <c r="N24" s="69">
        <f t="shared" si="2"/>
        <v>0</v>
      </c>
    </row>
    <row r="25" spans="1:14" x14ac:dyDescent="0.25">
      <c r="A25" s="552" t="str">
        <f>IF(VLOOKUP(hth_occ1, hth1_cost, 3, FALSE)="", "Masonry", VLOOKUP(hth_occ1, hth1_cost, 3, FALSE))</f>
        <v>Masonry</v>
      </c>
      <c r="B25" s="553"/>
      <c r="C25" s="554"/>
      <c r="D25" s="95">
        <f>IF(VLOOKUP(hth_occ1, hth1_cost, 4, FALSE)="", 30, 0)</f>
        <v>30</v>
      </c>
      <c r="E25" s="86"/>
      <c r="F25" s="87"/>
      <c r="G25" s="84">
        <f>IF(VLOOKUP(hth_occ1, hth1_cost, 4, FALSE)="", 5, 0)</f>
        <v>5</v>
      </c>
      <c r="H25" s="84">
        <v>1</v>
      </c>
      <c r="I25" s="84">
        <f>IF(VLOOKUP(hth_occ1, hth1_cost, 3, FALSE)="", 5, 0)</f>
        <v>5</v>
      </c>
      <c r="J25" s="2">
        <f>'C1-WT'!K5</f>
        <v>0</v>
      </c>
      <c r="K25" s="92">
        <f>IF(VLOOKUP(hth_occ1, hth1_cost, 3, FALSE)="", 5, 0)</f>
        <v>5</v>
      </c>
      <c r="L25" s="97">
        <f t="shared" si="0"/>
        <v>40</v>
      </c>
      <c r="M25" s="68">
        <f t="shared" si="1"/>
        <v>0</v>
      </c>
      <c r="N25" s="69">
        <f t="shared" si="2"/>
        <v>0</v>
      </c>
    </row>
    <row r="26" spans="1:14" x14ac:dyDescent="0.25">
      <c r="A26" s="552" t="s">
        <v>358</v>
      </c>
      <c r="B26" s="553"/>
      <c r="C26" s="554"/>
      <c r="D26" s="95">
        <v>25</v>
      </c>
      <c r="E26" s="86"/>
      <c r="F26" s="87"/>
      <c r="G26" s="84">
        <v>5</v>
      </c>
      <c r="H26" s="84">
        <v>1</v>
      </c>
      <c r="I26" s="84"/>
      <c r="J26" s="2">
        <f>'C1-WT'!K5</f>
        <v>0</v>
      </c>
      <c r="K26" s="92"/>
      <c r="L26" s="97">
        <f t="shared" si="0"/>
        <v>25</v>
      </c>
      <c r="M26" s="68">
        <f t="shared" si="1"/>
        <v>0</v>
      </c>
      <c r="N26" s="69">
        <f t="shared" si="2"/>
        <v>0</v>
      </c>
    </row>
    <row r="27" spans="1:14" x14ac:dyDescent="0.25">
      <c r="A27" s="555" t="s">
        <v>308</v>
      </c>
      <c r="B27" s="556"/>
      <c r="C27" s="557"/>
      <c r="D27" s="94">
        <v>30</v>
      </c>
      <c r="E27" s="86"/>
      <c r="F27" s="87"/>
      <c r="G27" s="84">
        <v>5</v>
      </c>
      <c r="H27" s="83">
        <v>1</v>
      </c>
      <c r="I27" s="84"/>
      <c r="J27" s="2">
        <f>'C1-WT'!K5</f>
        <v>0</v>
      </c>
      <c r="K27" s="92"/>
      <c r="L27" s="97">
        <f t="shared" si="0"/>
        <v>30</v>
      </c>
      <c r="M27" s="68">
        <f t="shared" si="1"/>
        <v>0</v>
      </c>
      <c r="N27" s="69">
        <f t="shared" si="2"/>
        <v>0</v>
      </c>
    </row>
    <row r="28" spans="1:14" x14ac:dyDescent="0.25">
      <c r="A28" s="546" t="s">
        <v>318</v>
      </c>
      <c r="B28" s="547"/>
      <c r="C28" s="548"/>
      <c r="D28" s="95">
        <v>25</v>
      </c>
      <c r="E28" s="86"/>
      <c r="F28" s="87"/>
      <c r="G28" s="84">
        <v>5</v>
      </c>
      <c r="H28" s="84">
        <v>1</v>
      </c>
      <c r="I28" s="84"/>
      <c r="J28" s="2">
        <f>'C1-WT'!K5</f>
        <v>0</v>
      </c>
      <c r="K28" s="92"/>
      <c r="L28" s="97">
        <f t="shared" si="0"/>
        <v>25</v>
      </c>
      <c r="M28" s="68">
        <f t="shared" si="1"/>
        <v>0</v>
      </c>
      <c r="N28" s="69">
        <f t="shared" si="2"/>
        <v>0</v>
      </c>
    </row>
    <row r="29" spans="1:14" x14ac:dyDescent="0.25">
      <c r="A29" s="552" t="s">
        <v>312</v>
      </c>
      <c r="B29" s="553"/>
      <c r="C29" s="554"/>
      <c r="D29" s="95">
        <v>30</v>
      </c>
      <c r="E29" s="86"/>
      <c r="F29" s="87"/>
      <c r="G29" s="84">
        <v>5</v>
      </c>
      <c r="H29" s="84">
        <v>1</v>
      </c>
      <c r="I29" s="84"/>
      <c r="J29" s="2">
        <f>'C1-WT'!K5</f>
        <v>0</v>
      </c>
      <c r="K29" s="92"/>
      <c r="L29" s="97">
        <f t="shared" si="0"/>
        <v>30</v>
      </c>
      <c r="M29" s="68">
        <f t="shared" si="1"/>
        <v>0</v>
      </c>
      <c r="N29" s="69">
        <f t="shared" si="2"/>
        <v>0</v>
      </c>
    </row>
    <row r="30" spans="1:14" x14ac:dyDescent="0.25">
      <c r="A30" s="546" t="s">
        <v>315</v>
      </c>
      <c r="B30" s="547"/>
      <c r="C30" s="548"/>
      <c r="D30" s="95">
        <v>30</v>
      </c>
      <c r="E30" s="86"/>
      <c r="F30" s="87"/>
      <c r="G30" s="84">
        <v>5</v>
      </c>
      <c r="H30" s="83">
        <v>3</v>
      </c>
      <c r="I30" s="84">
        <v>5</v>
      </c>
      <c r="J30" s="2">
        <f>'C1-WT'!K5</f>
        <v>0</v>
      </c>
      <c r="K30" s="92">
        <v>5</v>
      </c>
      <c r="L30" s="97">
        <f t="shared" si="0"/>
        <v>30</v>
      </c>
      <c r="M30" s="68">
        <f t="shared" si="1"/>
        <v>0</v>
      </c>
      <c r="N30" s="69">
        <f t="shared" si="2"/>
        <v>0</v>
      </c>
    </row>
    <row r="31" spans="1:14" ht="15.75" thickBot="1" x14ac:dyDescent="0.3">
      <c r="A31" s="558" t="s">
        <v>313</v>
      </c>
      <c r="B31" s="559"/>
      <c r="C31" s="560"/>
      <c r="D31" s="96">
        <v>45</v>
      </c>
      <c r="E31" s="88"/>
      <c r="F31" s="89"/>
      <c r="G31" s="90">
        <v>5</v>
      </c>
      <c r="H31" s="90">
        <v>4</v>
      </c>
      <c r="I31" s="90"/>
      <c r="J31" s="33">
        <f>'C1-WT'!K5</f>
        <v>0</v>
      </c>
      <c r="K31" s="93">
        <v>5</v>
      </c>
      <c r="L31" s="98">
        <f t="shared" si="0"/>
        <v>35</v>
      </c>
      <c r="M31" s="117">
        <f t="shared" si="1"/>
        <v>0</v>
      </c>
      <c r="N31" s="118">
        <f t="shared" si="2"/>
        <v>0</v>
      </c>
    </row>
    <row r="32" spans="1:14" x14ac:dyDescent="0.25">
      <c r="A32" s="549" t="s">
        <v>304</v>
      </c>
      <c r="B32" s="550"/>
      <c r="C32" s="551"/>
      <c r="D32" s="119">
        <v>30</v>
      </c>
      <c r="E32" s="109"/>
      <c r="F32" s="110"/>
      <c r="G32" s="111">
        <v>4</v>
      </c>
      <c r="H32" s="111">
        <v>4</v>
      </c>
      <c r="I32" s="111"/>
      <c r="J32" s="112">
        <f>'C1-WT'!K5</f>
        <v>0</v>
      </c>
      <c r="K32" s="113">
        <v>5</v>
      </c>
      <c r="L32" s="114">
        <f t="shared" si="0"/>
        <v>23</v>
      </c>
      <c r="M32" s="115">
        <f t="shared" si="1"/>
        <v>0</v>
      </c>
      <c r="N32" s="116">
        <f t="shared" si="2"/>
        <v>0</v>
      </c>
    </row>
    <row r="33" spans="1:14" x14ac:dyDescent="0.25">
      <c r="A33" s="555" t="s">
        <v>309</v>
      </c>
      <c r="B33" s="556"/>
      <c r="C33" s="557"/>
      <c r="D33" s="95"/>
      <c r="E33" s="86"/>
      <c r="F33" s="87"/>
      <c r="G33" s="84"/>
      <c r="H33" s="83">
        <v>6</v>
      </c>
      <c r="I33" s="84"/>
      <c r="J33" s="2">
        <f>'C1-WT'!K5</f>
        <v>0</v>
      </c>
      <c r="K33" s="92"/>
      <c r="L33" s="97">
        <f t="shared" si="0"/>
        <v>0</v>
      </c>
      <c r="M33" s="68">
        <f t="shared" si="1"/>
        <v>0</v>
      </c>
      <c r="N33" s="69">
        <f t="shared" si="2"/>
        <v>0</v>
      </c>
    </row>
    <row r="34" spans="1:14" x14ac:dyDescent="0.25">
      <c r="A34" s="546" t="s">
        <v>347</v>
      </c>
      <c r="B34" s="547"/>
      <c r="C34" s="548"/>
      <c r="D34" s="95">
        <v>30</v>
      </c>
      <c r="E34" s="86"/>
      <c r="F34" s="87"/>
      <c r="G34" s="84">
        <v>5</v>
      </c>
      <c r="H34" s="83">
        <v>8</v>
      </c>
      <c r="I34" s="84"/>
      <c r="J34" s="2">
        <f>'C1-WT'!K5</f>
        <v>0</v>
      </c>
      <c r="K34" s="92"/>
      <c r="L34" s="97">
        <f t="shared" si="0"/>
        <v>-5</v>
      </c>
      <c r="M34" s="68">
        <f t="shared" si="1"/>
        <v>0</v>
      </c>
      <c r="N34" s="69">
        <f t="shared" si="2"/>
        <v>0</v>
      </c>
    </row>
    <row r="35" spans="1:14" x14ac:dyDescent="0.25">
      <c r="A35" s="552" t="s">
        <v>349</v>
      </c>
      <c r="B35" s="553"/>
      <c r="C35" s="554"/>
      <c r="D35" s="95">
        <v>20</v>
      </c>
      <c r="E35" s="86"/>
      <c r="F35" s="87"/>
      <c r="G35" s="84">
        <v>5</v>
      </c>
      <c r="H35" s="84">
        <v>8</v>
      </c>
      <c r="I35" s="84"/>
      <c r="J35" s="2">
        <f>'C1-WT'!K5</f>
        <v>0</v>
      </c>
      <c r="K35" s="92"/>
      <c r="L35" s="97">
        <f t="shared" si="0"/>
        <v>-15</v>
      </c>
      <c r="M35" s="68">
        <f t="shared" si="1"/>
        <v>0</v>
      </c>
      <c r="N35" s="69">
        <f t="shared" si="2"/>
        <v>0</v>
      </c>
    </row>
    <row r="36" spans="1:14" x14ac:dyDescent="0.25">
      <c r="A36" s="546" t="s">
        <v>350</v>
      </c>
      <c r="B36" s="547"/>
      <c r="C36" s="548"/>
      <c r="D36" s="95">
        <v>30</v>
      </c>
      <c r="E36" s="86"/>
      <c r="F36" s="87"/>
      <c r="G36" s="84">
        <v>5</v>
      </c>
      <c r="H36" s="84">
        <v>9</v>
      </c>
      <c r="I36" s="84">
        <v>5</v>
      </c>
      <c r="J36" s="2">
        <f>'C1-WT'!K5</f>
        <v>0</v>
      </c>
      <c r="K36" s="92"/>
      <c r="L36" s="97">
        <f t="shared" si="0"/>
        <v>-5</v>
      </c>
      <c r="M36" s="68">
        <f t="shared" si="1"/>
        <v>0</v>
      </c>
      <c r="N36" s="69">
        <f t="shared" si="2"/>
        <v>0</v>
      </c>
    </row>
    <row r="37" spans="1:14" x14ac:dyDescent="0.25">
      <c r="A37" s="546" t="s">
        <v>351</v>
      </c>
      <c r="B37" s="547"/>
      <c r="C37" s="548"/>
      <c r="D37" s="94">
        <v>30</v>
      </c>
      <c r="E37" s="86"/>
      <c r="F37" s="87"/>
      <c r="G37" s="84">
        <v>5</v>
      </c>
      <c r="H37" s="83">
        <v>12</v>
      </c>
      <c r="I37" s="84">
        <v>5</v>
      </c>
      <c r="J37" s="2">
        <f>'C1-WT'!K5</f>
        <v>0</v>
      </c>
      <c r="K37" s="92">
        <v>5</v>
      </c>
      <c r="L37" s="97">
        <f t="shared" si="0"/>
        <v>-15</v>
      </c>
      <c r="M37" s="68">
        <f t="shared" si="1"/>
        <v>0</v>
      </c>
      <c r="N37" s="69">
        <f t="shared" si="2"/>
        <v>0</v>
      </c>
    </row>
    <row r="38" spans="1:14" x14ac:dyDescent="0.25">
      <c r="A38" s="552" t="s">
        <v>319</v>
      </c>
      <c r="B38" s="553"/>
      <c r="C38" s="554"/>
      <c r="D38" s="95">
        <v>35</v>
      </c>
      <c r="E38" s="86"/>
      <c r="F38" s="87"/>
      <c r="G38" s="84">
        <v>5</v>
      </c>
      <c r="H38" s="84">
        <v>12</v>
      </c>
      <c r="I38" s="84"/>
      <c r="J38" s="2">
        <f>'C1-WT'!K5</f>
        <v>0</v>
      </c>
      <c r="K38" s="92"/>
      <c r="L38" s="97">
        <f t="shared" si="0"/>
        <v>-20</v>
      </c>
      <c r="M38" s="68">
        <f t="shared" si="1"/>
        <v>0</v>
      </c>
      <c r="N38" s="69">
        <f t="shared" si="2"/>
        <v>0</v>
      </c>
    </row>
    <row r="39" spans="1:14" x14ac:dyDescent="0.25">
      <c r="A39" s="552" t="s">
        <v>348</v>
      </c>
      <c r="B39" s="553"/>
      <c r="C39" s="554"/>
      <c r="D39" s="95"/>
      <c r="E39" s="86"/>
      <c r="F39" s="87"/>
      <c r="G39" s="84"/>
      <c r="H39" s="84">
        <v>12</v>
      </c>
      <c r="I39" s="84"/>
      <c r="J39" s="2">
        <f>'C1-WT'!K5</f>
        <v>0</v>
      </c>
      <c r="K39" s="92"/>
      <c r="L39" s="97">
        <f t="shared" si="0"/>
        <v>0</v>
      </c>
      <c r="M39" s="68">
        <f t="shared" si="1"/>
        <v>0</v>
      </c>
      <c r="N39" s="69">
        <f t="shared" si="2"/>
        <v>0</v>
      </c>
    </row>
    <row r="40" spans="1:14" x14ac:dyDescent="0.25">
      <c r="A40" s="546"/>
      <c r="B40" s="547"/>
      <c r="C40" s="548"/>
      <c r="D40" s="95"/>
      <c r="E40" s="86"/>
      <c r="F40" s="87"/>
      <c r="G40" s="84"/>
      <c r="H40" s="83">
        <v>1</v>
      </c>
      <c r="I40" s="84"/>
      <c r="J40" s="2">
        <f>'C1-WT'!K5</f>
        <v>0</v>
      </c>
      <c r="K40" s="92"/>
      <c r="L40" s="97">
        <f t="shared" si="0"/>
        <v>0</v>
      </c>
      <c r="M40" s="68">
        <f t="shared" si="1"/>
        <v>0</v>
      </c>
      <c r="N40" s="69">
        <f t="shared" si="2"/>
        <v>0</v>
      </c>
    </row>
    <row r="41" spans="1:14" x14ac:dyDescent="0.25">
      <c r="A41" s="552"/>
      <c r="B41" s="553"/>
      <c r="C41" s="554"/>
      <c r="D41" s="95"/>
      <c r="E41" s="86"/>
      <c r="F41" s="87"/>
      <c r="G41" s="84"/>
      <c r="H41" s="84">
        <v>1</v>
      </c>
      <c r="I41" s="84"/>
      <c r="J41" s="2">
        <f>'C1-WT'!K5</f>
        <v>0</v>
      </c>
      <c r="K41" s="92"/>
      <c r="L41" s="97">
        <f t="shared" si="0"/>
        <v>0</v>
      </c>
      <c r="M41" s="68">
        <f t="shared" si="1"/>
        <v>0</v>
      </c>
      <c r="N41" s="69">
        <f t="shared" si="2"/>
        <v>0</v>
      </c>
    </row>
    <row r="42" spans="1:14" x14ac:dyDescent="0.25">
      <c r="A42" s="546"/>
      <c r="B42" s="547"/>
      <c r="C42" s="548"/>
      <c r="D42" s="94"/>
      <c r="E42" s="86"/>
      <c r="F42" s="87"/>
      <c r="G42" s="84"/>
      <c r="H42" s="84">
        <v>1</v>
      </c>
      <c r="I42" s="84"/>
      <c r="J42" s="2">
        <f>'C1-WT'!K5</f>
        <v>0</v>
      </c>
      <c r="K42" s="92"/>
      <c r="L42" s="97">
        <f t="shared" si="0"/>
        <v>0</v>
      </c>
      <c r="M42" s="68">
        <f t="shared" si="1"/>
        <v>0</v>
      </c>
      <c r="N42" s="69">
        <f t="shared" si="2"/>
        <v>0</v>
      </c>
    </row>
    <row r="43" spans="1:14" x14ac:dyDescent="0.25">
      <c r="A43" s="546"/>
      <c r="B43" s="547"/>
      <c r="C43" s="548"/>
      <c r="D43" s="95"/>
      <c r="E43" s="86"/>
      <c r="F43" s="87"/>
      <c r="G43" s="84"/>
      <c r="H43" s="83">
        <v>1</v>
      </c>
      <c r="I43" s="84"/>
      <c r="J43" s="2">
        <f>'C1-WT'!K5</f>
        <v>0</v>
      </c>
      <c r="K43" s="92"/>
      <c r="L43" s="97">
        <f t="shared" si="0"/>
        <v>0</v>
      </c>
      <c r="M43" s="68">
        <f t="shared" si="1"/>
        <v>0</v>
      </c>
      <c r="N43" s="69">
        <f t="shared" si="2"/>
        <v>0</v>
      </c>
    </row>
    <row r="44" spans="1:14" x14ac:dyDescent="0.25">
      <c r="A44" s="552"/>
      <c r="B44" s="553"/>
      <c r="C44" s="554"/>
      <c r="D44" s="95"/>
      <c r="E44" s="86"/>
      <c r="F44" s="87"/>
      <c r="G44" s="84"/>
      <c r="H44" s="84">
        <v>1</v>
      </c>
      <c r="I44" s="84"/>
      <c r="J44" s="2">
        <f>'C1-WT'!K5</f>
        <v>0</v>
      </c>
      <c r="K44" s="92"/>
      <c r="L44" s="97">
        <f t="shared" si="0"/>
        <v>0</v>
      </c>
      <c r="M44" s="68">
        <f t="shared" si="1"/>
        <v>0</v>
      </c>
      <c r="N44" s="69">
        <f t="shared" si="2"/>
        <v>0</v>
      </c>
    </row>
    <row r="45" spans="1:14" x14ac:dyDescent="0.25">
      <c r="A45" s="546"/>
      <c r="B45" s="547"/>
      <c r="C45" s="548"/>
      <c r="D45" s="95"/>
      <c r="E45" s="86"/>
      <c r="F45" s="87"/>
      <c r="G45" s="84"/>
      <c r="H45" s="84">
        <v>1</v>
      </c>
      <c r="I45" s="84"/>
      <c r="J45" s="2">
        <f>'C1-WT'!K5</f>
        <v>0</v>
      </c>
      <c r="K45" s="92"/>
      <c r="L45" s="97">
        <f t="shared" si="0"/>
        <v>0</v>
      </c>
      <c r="M45" s="68">
        <f t="shared" si="1"/>
        <v>0</v>
      </c>
      <c r="N45" s="69">
        <f t="shared" si="2"/>
        <v>0</v>
      </c>
    </row>
    <row r="46" spans="1:14" ht="15.75" thickBot="1" x14ac:dyDescent="0.3">
      <c r="A46" s="558"/>
      <c r="B46" s="559"/>
      <c r="C46" s="560"/>
      <c r="D46" s="96"/>
      <c r="E46" s="88"/>
      <c r="F46" s="89"/>
      <c r="G46" s="90"/>
      <c r="H46" s="91">
        <v>1</v>
      </c>
      <c r="I46" s="90"/>
      <c r="J46" s="33">
        <f>'C1-WT'!K5</f>
        <v>0</v>
      </c>
      <c r="K46" s="93"/>
      <c r="L46" s="98">
        <f t="shared" si="0"/>
        <v>0</v>
      </c>
      <c r="M46" s="117">
        <f t="shared" si="1"/>
        <v>0</v>
      </c>
      <c r="N46" s="118">
        <f t="shared" si="2"/>
        <v>0</v>
      </c>
    </row>
    <row r="48" spans="1:14" x14ac:dyDescent="0.25">
      <c r="A48" s="542" t="s">
        <v>279</v>
      </c>
      <c r="B48" s="542"/>
      <c r="C48" s="542"/>
      <c r="D48" s="542"/>
      <c r="E48" s="542"/>
      <c r="F48" s="542"/>
    </row>
    <row r="49" spans="1:6" x14ac:dyDescent="0.25">
      <c r="A49" s="540" t="s">
        <v>280</v>
      </c>
      <c r="B49" s="524"/>
      <c r="C49" s="223" t="s">
        <v>275</v>
      </c>
      <c r="D49" s="223" t="s">
        <v>276</v>
      </c>
      <c r="E49" s="223" t="s">
        <v>277</v>
      </c>
      <c r="F49" s="223" t="s">
        <v>278</v>
      </c>
    </row>
    <row r="50" spans="1:6" x14ac:dyDescent="0.25">
      <c r="A50" s="539" t="s">
        <v>179</v>
      </c>
      <c r="B50" s="539"/>
      <c r="C50" s="84"/>
      <c r="D50" s="84"/>
      <c r="E50" s="84"/>
      <c r="F50" s="84"/>
    </row>
    <row r="51" spans="1:6" x14ac:dyDescent="0.25">
      <c r="A51" s="539" t="s">
        <v>175</v>
      </c>
      <c r="B51" s="539"/>
      <c r="C51" s="84"/>
      <c r="D51" s="84"/>
      <c r="E51" s="84"/>
      <c r="F51" s="84"/>
    </row>
    <row r="52" spans="1:6" x14ac:dyDescent="0.25">
      <c r="A52" s="539" t="s">
        <v>176</v>
      </c>
      <c r="B52" s="539"/>
      <c r="C52" s="84" t="str">
        <f>hth_plus</f>
        <v>Hand to Hand Upgrade</v>
      </c>
      <c r="D52" s="84"/>
      <c r="E52" s="84"/>
      <c r="F52" s="84"/>
    </row>
    <row r="53" spans="1:6" x14ac:dyDescent="0.25">
      <c r="A53" s="539" t="s">
        <v>177</v>
      </c>
      <c r="B53" s="539"/>
      <c r="C53" s="84" t="str">
        <f>hth_plus</f>
        <v>Hand to Hand Upgrade</v>
      </c>
      <c r="D53" s="84" t="str">
        <f>hth_plus</f>
        <v>Hand to Hand Upgrade</v>
      </c>
      <c r="E53" s="84"/>
      <c r="F53" s="84"/>
    </row>
    <row r="54" spans="1:6" x14ac:dyDescent="0.25">
      <c r="A54" s="539" t="s">
        <v>178</v>
      </c>
      <c r="B54" s="539"/>
      <c r="C54" s="84" t="str">
        <f>hth_plus</f>
        <v>Hand to Hand Upgrade</v>
      </c>
      <c r="D54" s="84" t="str">
        <f>hth_plus</f>
        <v>Hand to Hand Upgrade</v>
      </c>
      <c r="E54" s="84"/>
      <c r="F54" s="84"/>
    </row>
    <row r="55" spans="1:6" x14ac:dyDescent="0.25">
      <c r="E55"/>
      <c r="F55"/>
    </row>
    <row r="56" spans="1:6" x14ac:dyDescent="0.25">
      <c r="A56" s="541" t="s">
        <v>274</v>
      </c>
      <c r="B56" s="541"/>
      <c r="C56" s="541"/>
      <c r="D56" s="541"/>
      <c r="E56" s="541"/>
      <c r="F56" s="541"/>
    </row>
    <row r="57" spans="1:6" x14ac:dyDescent="0.25">
      <c r="E57"/>
      <c r="F57"/>
    </row>
    <row r="58" spans="1:6" x14ac:dyDescent="0.25">
      <c r="A58" s="194" t="s">
        <v>305</v>
      </c>
      <c r="E58"/>
      <c r="F58"/>
    </row>
  </sheetData>
  <sheetProtection algorithmName="SHA-512" hashValue="o4FP6tsDLXNhNK6p1a3SLYo3xH+0AsvbGsAT3r9Ah7kaDZaBX2y56aN2H5Or19AtalbuS8dPv1MiK0nXVeF8Qw==" saltValue="ZzL8a0XnDFX5j1ErYRh0pA==" spinCount="100000" sheet="1" selectLockedCells="1"/>
  <mergeCells count="54">
    <mergeCell ref="A43:C43"/>
    <mergeCell ref="A44:C44"/>
    <mergeCell ref="A45:C45"/>
    <mergeCell ref="A46:C46"/>
    <mergeCell ref="A37:C37"/>
    <mergeCell ref="A38:C38"/>
    <mergeCell ref="A39:C39"/>
    <mergeCell ref="A40:C40"/>
    <mergeCell ref="A41:C41"/>
    <mergeCell ref="A42:C42"/>
    <mergeCell ref="A36:C36"/>
    <mergeCell ref="A25:C25"/>
    <mergeCell ref="A26:C26"/>
    <mergeCell ref="A27:C27"/>
    <mergeCell ref="A28:C28"/>
    <mergeCell ref="A29:C29"/>
    <mergeCell ref="A30:C30"/>
    <mergeCell ref="A31:C31"/>
    <mergeCell ref="A32:C32"/>
    <mergeCell ref="A33:C33"/>
    <mergeCell ref="A34:C34"/>
    <mergeCell ref="A35:C35"/>
    <mergeCell ref="A24:C24"/>
    <mergeCell ref="A13:C13"/>
    <mergeCell ref="A14:C14"/>
    <mergeCell ref="A15:C15"/>
    <mergeCell ref="A16:C16"/>
    <mergeCell ref="A17:C17"/>
    <mergeCell ref="A18:C18"/>
    <mergeCell ref="A19:C19"/>
    <mergeCell ref="A20:C20"/>
    <mergeCell ref="A21:C21"/>
    <mergeCell ref="A22:C22"/>
    <mergeCell ref="A23:C23"/>
    <mergeCell ref="A1:C1"/>
    <mergeCell ref="A12:C12"/>
    <mergeCell ref="A2:C2"/>
    <mergeCell ref="A3:C3"/>
    <mergeCell ref="A4:C4"/>
    <mergeCell ref="A5:C5"/>
    <mergeCell ref="A6:C6"/>
    <mergeCell ref="A7:C7"/>
    <mergeCell ref="A8:C8"/>
    <mergeCell ref="A9:C9"/>
    <mergeCell ref="A10:C10"/>
    <mergeCell ref="A11:C11"/>
    <mergeCell ref="A54:B54"/>
    <mergeCell ref="A49:B49"/>
    <mergeCell ref="A56:F56"/>
    <mergeCell ref="A48:F48"/>
    <mergeCell ref="A50:B50"/>
    <mergeCell ref="A51:B51"/>
    <mergeCell ref="A52:B52"/>
    <mergeCell ref="A53:B53"/>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T65"/>
  <sheetViews>
    <sheetView workbookViewId="0">
      <selection activeCell="E21" sqref="E21"/>
    </sheetView>
  </sheetViews>
  <sheetFormatPr defaultRowHeight="15" x14ac:dyDescent="0.25"/>
  <cols>
    <col min="2" max="7" width="7.140625" customWidth="1"/>
    <col min="8" max="8" width="7.7109375" customWidth="1"/>
    <col min="9" max="9" width="6.42578125" customWidth="1"/>
    <col min="10" max="10" width="12.85546875" customWidth="1"/>
    <col min="11" max="11" width="5.7109375" customWidth="1"/>
  </cols>
  <sheetData>
    <row r="1" spans="1:20" s="1" customFormat="1" ht="18.75" x14ac:dyDescent="0.3">
      <c r="A1" s="561" t="s">
        <v>328</v>
      </c>
      <c r="B1" s="562"/>
      <c r="C1" s="562"/>
      <c r="D1" s="562"/>
      <c r="E1" s="562"/>
      <c r="F1" s="562"/>
      <c r="G1" s="562"/>
      <c r="H1" s="562"/>
      <c r="I1" s="562"/>
      <c r="J1" s="562"/>
      <c r="K1" s="563"/>
    </row>
    <row r="2" spans="1:20" s="1" customFormat="1" ht="16.5" thickBot="1" x14ac:dyDescent="0.3">
      <c r="A2" s="564" t="str">
        <f>class_2&amp;" "&amp;"O.C.C."</f>
        <v>Warrior Monk O.C.C.</v>
      </c>
      <c r="B2" s="565"/>
      <c r="C2" s="565"/>
      <c r="D2" s="565"/>
      <c r="E2" s="565"/>
      <c r="F2" s="565"/>
      <c r="G2" s="565"/>
      <c r="H2" s="565"/>
      <c r="I2" s="565"/>
      <c r="J2" s="565"/>
      <c r="K2" s="566"/>
    </row>
    <row r="3" spans="1:20" s="1" customFormat="1" ht="15.75" thickBot="1" x14ac:dyDescent="0.3">
      <c r="A3" s="231"/>
      <c r="B3" s="231"/>
      <c r="C3" s="231"/>
      <c r="D3" s="231"/>
      <c r="E3" s="231"/>
      <c r="F3" s="231"/>
      <c r="G3" s="231"/>
      <c r="H3" s="232"/>
      <c r="I3" s="232"/>
      <c r="J3" s="232"/>
      <c r="K3" s="232"/>
    </row>
    <row r="4" spans="1:20" ht="26.25" thickBot="1" x14ac:dyDescent="0.3">
      <c r="A4" s="229" t="s">
        <v>60</v>
      </c>
      <c r="B4" s="230" t="s">
        <v>61</v>
      </c>
      <c r="C4" s="230" t="s">
        <v>64</v>
      </c>
      <c r="D4" s="230" t="s">
        <v>62</v>
      </c>
      <c r="E4" s="230" t="s">
        <v>63</v>
      </c>
      <c r="F4" s="230" t="s">
        <v>65</v>
      </c>
      <c r="G4" s="77" t="s">
        <v>66</v>
      </c>
      <c r="H4" s="127"/>
      <c r="I4" s="127"/>
      <c r="J4" s="127"/>
      <c r="K4" s="127"/>
    </row>
    <row r="5" spans="1:20" x14ac:dyDescent="0.25">
      <c r="A5" s="46" t="s">
        <v>1</v>
      </c>
      <c r="B5" s="80">
        <v>10</v>
      </c>
      <c r="C5" s="80"/>
      <c r="D5" s="80"/>
      <c r="E5" s="80"/>
      <c r="F5" s="80"/>
      <c r="G5" s="47">
        <f>SUM(B5:F5)</f>
        <v>10</v>
      </c>
      <c r="H5" s="128"/>
      <c r="I5" s="128"/>
      <c r="J5" s="128"/>
      <c r="K5" s="23"/>
    </row>
    <row r="6" spans="1:20" x14ac:dyDescent="0.25">
      <c r="A6" s="39" t="s">
        <v>2</v>
      </c>
      <c r="B6" s="81">
        <v>10</v>
      </c>
      <c r="C6" s="81"/>
      <c r="D6" s="81"/>
      <c r="E6" s="81"/>
      <c r="F6" s="81"/>
      <c r="G6" s="37">
        <f>SUM(B6:F6)</f>
        <v>10</v>
      </c>
      <c r="H6" s="129"/>
      <c r="I6" s="23"/>
      <c r="J6" s="129"/>
      <c r="K6" s="23"/>
    </row>
    <row r="7" spans="1:20" x14ac:dyDescent="0.25">
      <c r="A7" s="39" t="s">
        <v>3</v>
      </c>
      <c r="B7" s="81">
        <v>7</v>
      </c>
      <c r="C7" s="81"/>
      <c r="D7" s="81"/>
      <c r="E7" s="81"/>
      <c r="F7" s="81"/>
      <c r="G7" s="37">
        <f t="shared" ref="G7:G12" si="0">SUM(B7:F7)</f>
        <v>7</v>
      </c>
      <c r="H7" s="128"/>
      <c r="I7" s="128"/>
      <c r="J7" s="128"/>
      <c r="K7" s="23"/>
    </row>
    <row r="8" spans="1:20" x14ac:dyDescent="0.25">
      <c r="A8" s="39" t="s">
        <v>4</v>
      </c>
      <c r="B8" s="81">
        <v>14</v>
      </c>
      <c r="C8" s="81">
        <v>6</v>
      </c>
      <c r="D8" s="81"/>
      <c r="E8" s="81">
        <f>IF(calc_lev&gt;12, 3, IF(calc_lev&gt;1, 1, 0))</f>
        <v>0</v>
      </c>
      <c r="F8" s="81"/>
      <c r="G8" s="37">
        <f t="shared" si="0"/>
        <v>20</v>
      </c>
      <c r="H8" s="128"/>
      <c r="I8" s="128"/>
      <c r="J8" s="128"/>
      <c r="K8" s="23"/>
    </row>
    <row r="9" spans="1:20" x14ac:dyDescent="0.25">
      <c r="A9" s="39" t="s">
        <v>5</v>
      </c>
      <c r="B9" s="81">
        <v>10</v>
      </c>
      <c r="C9" s="81"/>
      <c r="D9" s="81"/>
      <c r="E9" s="81"/>
      <c r="F9" s="81"/>
      <c r="G9" s="37">
        <f t="shared" si="0"/>
        <v>10</v>
      </c>
      <c r="H9" s="128"/>
      <c r="I9" s="128"/>
      <c r="J9" s="128"/>
      <c r="K9" s="23"/>
    </row>
    <row r="10" spans="1:20" x14ac:dyDescent="0.25">
      <c r="A10" s="39" t="s">
        <v>6</v>
      </c>
      <c r="B10" s="81">
        <v>17</v>
      </c>
      <c r="C10" s="81"/>
      <c r="D10" s="81"/>
      <c r="E10" s="81"/>
      <c r="F10" s="81"/>
      <c r="G10" s="37">
        <f t="shared" si="0"/>
        <v>17</v>
      </c>
      <c r="H10" s="129"/>
      <c r="I10" s="23"/>
      <c r="J10" s="129"/>
      <c r="K10" s="23"/>
    </row>
    <row r="11" spans="1:20" x14ac:dyDescent="0.25">
      <c r="A11" s="39" t="s">
        <v>7</v>
      </c>
      <c r="B11" s="81">
        <v>9</v>
      </c>
      <c r="C11" s="81"/>
      <c r="D11" s="81"/>
      <c r="E11" s="81"/>
      <c r="F11" s="81"/>
      <c r="G11" s="37">
        <f t="shared" si="0"/>
        <v>9</v>
      </c>
      <c r="H11" s="128"/>
      <c r="I11" s="128"/>
      <c r="J11" s="128"/>
      <c r="K11" s="23"/>
    </row>
    <row r="12" spans="1:20" ht="15.75" thickBot="1" x14ac:dyDescent="0.3">
      <c r="A12" s="45" t="s">
        <v>8</v>
      </c>
      <c r="B12" s="82">
        <v>7</v>
      </c>
      <c r="C12" s="82"/>
      <c r="D12" s="82"/>
      <c r="E12" s="82">
        <f>IF(calc_lev&gt;1, 3, 0)</f>
        <v>0</v>
      </c>
      <c r="F12" s="82"/>
      <c r="G12" s="49">
        <f t="shared" si="0"/>
        <v>7</v>
      </c>
      <c r="H12" s="130"/>
      <c r="I12" s="130"/>
      <c r="J12" s="522" t="s">
        <v>330</v>
      </c>
      <c r="K12" s="522"/>
      <c r="L12" s="522"/>
      <c r="M12" s="522"/>
      <c r="N12" s="522"/>
      <c r="O12" s="522"/>
      <c r="P12" s="522"/>
      <c r="Q12" s="522"/>
      <c r="R12" s="522"/>
      <c r="S12" s="522"/>
      <c r="T12" s="522"/>
    </row>
    <row r="13" spans="1:20" ht="15.75" thickBot="1" x14ac:dyDescent="0.3">
      <c r="A13" s="3"/>
      <c r="B13" s="3"/>
      <c r="C13" s="3"/>
      <c r="D13" s="3"/>
      <c r="E13" s="3"/>
      <c r="F13" s="3"/>
      <c r="G13" s="3"/>
      <c r="H13" s="3"/>
      <c r="I13" s="3"/>
      <c r="J13" s="3"/>
      <c r="K13" s="3"/>
    </row>
    <row r="14" spans="1:20" ht="26.25" thickBot="1" x14ac:dyDescent="0.3">
      <c r="A14" s="492" t="s">
        <v>93</v>
      </c>
      <c r="B14" s="493"/>
      <c r="C14" s="120" t="s">
        <v>87</v>
      </c>
      <c r="D14" s="120" t="s">
        <v>88</v>
      </c>
      <c r="E14" s="120" t="s">
        <v>64</v>
      </c>
      <c r="F14" s="120" t="s">
        <v>89</v>
      </c>
      <c r="G14" s="120" t="s">
        <v>63</v>
      </c>
      <c r="H14" s="77" t="s">
        <v>90</v>
      </c>
      <c r="I14" s="3"/>
      <c r="J14" s="534" t="s">
        <v>55</v>
      </c>
      <c r="K14" s="535"/>
      <c r="L14" s="536"/>
      <c r="M14" s="1"/>
      <c r="N14" s="531" t="s">
        <v>80</v>
      </c>
      <c r="O14" s="532"/>
      <c r="P14" s="533"/>
      <c r="Q14" s="1"/>
      <c r="R14" s="531" t="s">
        <v>144</v>
      </c>
      <c r="S14" s="532"/>
      <c r="T14" s="533"/>
    </row>
    <row r="15" spans="1:20" x14ac:dyDescent="0.25">
      <c r="A15" s="378" t="s">
        <v>86</v>
      </c>
      <c r="B15" s="315"/>
      <c r="C15" s="50"/>
      <c r="D15" s="80"/>
      <c r="E15" s="80"/>
      <c r="F15" s="219">
        <f>_xlfn.IFNA(VLOOKUP(hth_occ2&amp;" "&amp;calc_lev, hth_bonus, 2, FALSE), "")</f>
        <v>4</v>
      </c>
      <c r="G15" s="80">
        <f>IF(calc_lev&gt;12, 1, 0)</f>
        <v>0</v>
      </c>
      <c r="H15" s="47">
        <f>SUM(C15:G15)</f>
        <v>4</v>
      </c>
      <c r="I15" s="3"/>
      <c r="J15" s="158" t="s">
        <v>87</v>
      </c>
      <c r="K15" s="156">
        <f>total_pe</f>
        <v>14</v>
      </c>
      <c r="L15" s="537"/>
      <c r="M15" s="1"/>
      <c r="N15" s="166" t="s">
        <v>246</v>
      </c>
      <c r="O15" s="84"/>
      <c r="P15" s="477"/>
      <c r="Q15" s="1"/>
      <c r="R15" s="166" t="s">
        <v>246</v>
      </c>
      <c r="S15" s="84">
        <v>7</v>
      </c>
      <c r="T15" s="477"/>
    </row>
    <row r="16" spans="1:20" x14ac:dyDescent="0.25">
      <c r="A16" s="389" t="s">
        <v>53</v>
      </c>
      <c r="B16" s="341"/>
      <c r="C16" s="44">
        <f>IF(total_pp&gt;45, 6, IF(total_pp&gt;30, ROUNDUP((total_pp-30)/3,0), 0))</f>
        <v>0</v>
      </c>
      <c r="D16" s="81"/>
      <c r="E16" s="81"/>
      <c r="F16" s="219">
        <f>_xlfn.IFNA(VLOOKUP(hth_occ2&amp;" "&amp;calc_lev, hth_bonus, 3, FALSE), "")</f>
        <v>0</v>
      </c>
      <c r="G16" s="81">
        <v>1</v>
      </c>
      <c r="H16" s="37">
        <f>SUM(C16:G16)</f>
        <v>1</v>
      </c>
      <c r="I16" s="3"/>
      <c r="J16" s="158" t="s">
        <v>128</v>
      </c>
      <c r="K16" s="157"/>
      <c r="L16" s="538"/>
      <c r="M16" s="1"/>
      <c r="N16" s="166" t="s">
        <v>156</v>
      </c>
      <c r="O16" s="84"/>
      <c r="P16" s="478"/>
      <c r="Q16" s="1"/>
      <c r="R16" s="166" t="s">
        <v>156</v>
      </c>
      <c r="S16" s="84">
        <f>total_me</f>
        <v>10</v>
      </c>
      <c r="T16" s="478"/>
    </row>
    <row r="17" spans="1:20" ht="15" customHeight="1" x14ac:dyDescent="0.25">
      <c r="A17" s="389" t="s">
        <v>49</v>
      </c>
      <c r="B17" s="341"/>
      <c r="C17" s="21">
        <f>pp_strike</f>
        <v>0</v>
      </c>
      <c r="D17" s="81"/>
      <c r="E17" s="81"/>
      <c r="F17" s="219">
        <f>_xlfn.IFNA(VLOOKUP(hth_occ2&amp;" "&amp;calc_lev, hth_bonus, 4, FALSE), "")</f>
        <v>0</v>
      </c>
      <c r="G17" s="81"/>
      <c r="H17" s="37">
        <f t="shared" ref="H17:H21" si="1">SUM(C17:G17)</f>
        <v>0</v>
      </c>
      <c r="I17" s="3"/>
      <c r="J17" s="59">
        <v>1</v>
      </c>
      <c r="K17" s="157">
        <v>3</v>
      </c>
      <c r="L17" s="191">
        <f>SUM(K15:K17)</f>
        <v>17</v>
      </c>
      <c r="M17" s="1"/>
      <c r="N17" s="166" t="s">
        <v>15</v>
      </c>
      <c r="O17" s="84">
        <f>occ2_pe*3</f>
        <v>51</v>
      </c>
      <c r="P17" s="478"/>
      <c r="Q17" s="1"/>
      <c r="R17" s="166" t="s">
        <v>15</v>
      </c>
      <c r="S17" s="84"/>
      <c r="T17" s="478"/>
    </row>
    <row r="18" spans="1:20" x14ac:dyDescent="0.25">
      <c r="A18" s="389" t="s">
        <v>50</v>
      </c>
      <c r="B18" s="341"/>
      <c r="C18" s="21">
        <f>pp_strike</f>
        <v>0</v>
      </c>
      <c r="D18" s="81"/>
      <c r="E18" s="81"/>
      <c r="F18" s="219">
        <f>_xlfn.IFNA(VLOOKUP(hth_occ2&amp;" "&amp;calc_lev, hth_bonus, 5, FALSE), "")</f>
        <v>0</v>
      </c>
      <c r="G18" s="81">
        <f>IF(calc_lev&gt;12, 2, 0)</f>
        <v>0</v>
      </c>
      <c r="H18" s="37">
        <f t="shared" si="1"/>
        <v>0</v>
      </c>
      <c r="I18" s="3"/>
      <c r="J18" s="158">
        <v>2</v>
      </c>
      <c r="K18" s="157">
        <v>3</v>
      </c>
      <c r="L18" s="191">
        <f>SUM(K15:K18)</f>
        <v>20</v>
      </c>
      <c r="M18" s="1"/>
      <c r="N18" s="166" t="s">
        <v>47</v>
      </c>
      <c r="O18" s="84"/>
      <c r="P18" s="479"/>
      <c r="Q18" s="1"/>
      <c r="R18" s="166" t="s">
        <v>47</v>
      </c>
      <c r="S18" s="84"/>
      <c r="T18" s="479"/>
    </row>
    <row r="19" spans="1:20" x14ac:dyDescent="0.25">
      <c r="A19" s="389" t="s">
        <v>54</v>
      </c>
      <c r="B19" s="341"/>
      <c r="C19" s="21">
        <f>pp_strike</f>
        <v>0</v>
      </c>
      <c r="D19" s="81"/>
      <c r="E19" s="81"/>
      <c r="F19" s="219">
        <f>_xlfn.IFNA(VLOOKUP(hth_occ2&amp;" "&amp;calc_lev, hth_bonus, 6, FALSE), "")</f>
        <v>0</v>
      </c>
      <c r="G19" s="81">
        <f>IF(calc_lev&gt;12, 2, 0)</f>
        <v>0</v>
      </c>
      <c r="H19" s="37">
        <f t="shared" si="1"/>
        <v>0</v>
      </c>
      <c r="I19" s="3"/>
      <c r="J19" s="158">
        <v>3</v>
      </c>
      <c r="K19" s="157">
        <v>4</v>
      </c>
      <c r="L19" s="191">
        <f>SUM(K15:K19)</f>
        <v>24</v>
      </c>
      <c r="M19" s="1"/>
      <c r="N19" s="167">
        <v>1</v>
      </c>
      <c r="O19" s="84">
        <v>2</v>
      </c>
      <c r="P19" s="32">
        <f>SUM(O15:O19)</f>
        <v>53</v>
      </c>
      <c r="Q19" s="1"/>
      <c r="R19" s="167">
        <v>1</v>
      </c>
      <c r="S19" s="84">
        <v>3</v>
      </c>
      <c r="T19" s="32">
        <f>SUM(S15:S19)</f>
        <v>20</v>
      </c>
    </row>
    <row r="20" spans="1:20" x14ac:dyDescent="0.25">
      <c r="A20" s="389" t="s">
        <v>85</v>
      </c>
      <c r="B20" s="341"/>
      <c r="C20" s="22"/>
      <c r="D20" s="81"/>
      <c r="E20" s="81"/>
      <c r="F20" s="219">
        <f>_xlfn.IFNA(VLOOKUP(hth_occ2&amp;" "&amp;calc_lev, hth_bonus, 7, FALSE), "")</f>
        <v>3</v>
      </c>
      <c r="G20" s="81">
        <f>IF(calc_lev&gt;12, 2, IF(calc_lev&gt;1, 1, 0))</f>
        <v>0</v>
      </c>
      <c r="H20" s="37">
        <f t="shared" si="1"/>
        <v>3</v>
      </c>
      <c r="I20" s="3"/>
      <c r="J20" s="158">
        <v>4</v>
      </c>
      <c r="K20" s="157">
        <v>3</v>
      </c>
      <c r="L20" s="191">
        <f>SUM(K15:K20)</f>
        <v>27</v>
      </c>
      <c r="M20" s="1"/>
      <c r="N20" s="167">
        <v>2</v>
      </c>
      <c r="O20" s="84">
        <v>3</v>
      </c>
      <c r="P20" s="32">
        <f>SUM(O15:O20)</f>
        <v>56</v>
      </c>
      <c r="Q20" s="1"/>
      <c r="R20" s="167">
        <v>2</v>
      </c>
      <c r="S20" s="84">
        <v>3</v>
      </c>
      <c r="T20" s="32">
        <f>SUM(S15:S20)</f>
        <v>23</v>
      </c>
    </row>
    <row r="21" spans="1:20" x14ac:dyDescent="0.25">
      <c r="A21" s="389" t="s">
        <v>58</v>
      </c>
      <c r="B21" s="341"/>
      <c r="C21" s="22"/>
      <c r="D21" s="81"/>
      <c r="E21" s="81"/>
      <c r="F21" s="219">
        <f>_xlfn.IFNA(VLOOKUP(hth_occ2&amp;" "&amp;calc_lev, hth_bonus, 8, FALSE), "")</f>
        <v>3</v>
      </c>
      <c r="G21" s="81"/>
      <c r="H21" s="37">
        <f t="shared" si="1"/>
        <v>3</v>
      </c>
      <c r="I21" s="3"/>
      <c r="J21" s="158">
        <v>5</v>
      </c>
      <c r="K21" s="157">
        <v>3</v>
      </c>
      <c r="L21" s="191">
        <f>SUM(K15:K21)</f>
        <v>30</v>
      </c>
      <c r="M21" s="1"/>
      <c r="N21" s="167">
        <v>3</v>
      </c>
      <c r="O21" s="84">
        <v>2</v>
      </c>
      <c r="P21" s="32">
        <f>SUM(O15:O21)</f>
        <v>58</v>
      </c>
      <c r="Q21" s="1"/>
      <c r="R21" s="167">
        <v>3</v>
      </c>
      <c r="S21" s="84">
        <v>3</v>
      </c>
      <c r="T21" s="32">
        <f>SUM(S15:S21)</f>
        <v>26</v>
      </c>
    </row>
    <row r="22" spans="1:20" ht="15" customHeight="1" x14ac:dyDescent="0.25">
      <c r="A22" s="389" t="s">
        <v>79</v>
      </c>
      <c r="B22" s="341"/>
      <c r="C22" s="21">
        <f>ps_dam</f>
        <v>10</v>
      </c>
      <c r="D22" s="81"/>
      <c r="E22" s="81"/>
      <c r="F22" s="219">
        <f>_xlfn.IFNA(VLOOKUP(hth_occ2&amp;" "&amp;calc_lev, hth_bonus, 9, FALSE), "")</f>
        <v>0</v>
      </c>
      <c r="G22" s="81"/>
      <c r="H22" s="37">
        <f>SUM(C22:G22)</f>
        <v>10</v>
      </c>
      <c r="I22" s="3"/>
      <c r="J22" s="59">
        <v>6</v>
      </c>
      <c r="K22" s="157">
        <v>4</v>
      </c>
      <c r="L22" s="191">
        <f>SUM(K15:K22)</f>
        <v>34</v>
      </c>
      <c r="M22" s="1"/>
      <c r="N22" s="167">
        <v>4</v>
      </c>
      <c r="O22" s="84">
        <v>3</v>
      </c>
      <c r="P22" s="32">
        <f>SUM(O15:O22)</f>
        <v>61</v>
      </c>
      <c r="Q22" s="1"/>
      <c r="R22" s="167">
        <v>4</v>
      </c>
      <c r="S22" s="84">
        <v>3</v>
      </c>
      <c r="T22" s="32">
        <f>SUM(S15:S22)</f>
        <v>29</v>
      </c>
    </row>
    <row r="23" spans="1:20" ht="15.75" thickBot="1" x14ac:dyDescent="0.3">
      <c r="A23" s="494" t="s">
        <v>56</v>
      </c>
      <c r="B23" s="342"/>
      <c r="C23" s="48"/>
      <c r="D23" s="82"/>
      <c r="E23" s="82">
        <v>15</v>
      </c>
      <c r="F23" s="82"/>
      <c r="G23" s="82">
        <f>IF(calc_lev&gt;12, 15, IF(calc_lev&gt;1, 5, 0))</f>
        <v>0</v>
      </c>
      <c r="H23" s="49">
        <f>SUM(C23:G23)</f>
        <v>15</v>
      </c>
      <c r="I23" s="11"/>
      <c r="J23" s="158">
        <v>7</v>
      </c>
      <c r="K23" s="157">
        <v>3</v>
      </c>
      <c r="L23" s="191">
        <f>SUM(K15:K23)</f>
        <v>37</v>
      </c>
      <c r="M23" s="1"/>
      <c r="N23" s="167">
        <v>5</v>
      </c>
      <c r="O23" s="84">
        <v>2</v>
      </c>
      <c r="P23" s="32">
        <f>SUM(O15:O23)</f>
        <v>63</v>
      </c>
      <c r="Q23" s="1"/>
      <c r="R23" s="167">
        <v>5</v>
      </c>
      <c r="S23" s="84">
        <v>3</v>
      </c>
      <c r="T23" s="32">
        <f>SUM(S15:S23)</f>
        <v>32</v>
      </c>
    </row>
    <row r="24" spans="1:20" x14ac:dyDescent="0.25">
      <c r="A24" s="16"/>
      <c r="B24" s="16"/>
      <c r="C24" s="23"/>
      <c r="D24" s="23"/>
      <c r="E24" s="23"/>
      <c r="F24" s="23"/>
      <c r="G24" s="23"/>
      <c r="H24" s="23"/>
      <c r="I24" s="23"/>
      <c r="J24" s="158">
        <v>8</v>
      </c>
      <c r="K24" s="157">
        <v>3</v>
      </c>
      <c r="L24" s="191">
        <f>SUM(K15:K24)</f>
        <v>40</v>
      </c>
      <c r="M24" s="4"/>
      <c r="N24" s="167">
        <v>6</v>
      </c>
      <c r="O24" s="84">
        <v>3</v>
      </c>
      <c r="P24" s="32">
        <f>SUM(O15:O24)</f>
        <v>66</v>
      </c>
      <c r="Q24" s="4"/>
      <c r="R24" s="167">
        <v>6</v>
      </c>
      <c r="S24" s="221">
        <v>3</v>
      </c>
      <c r="T24" s="32">
        <f>SUM(S15:S24)</f>
        <v>35</v>
      </c>
    </row>
    <row r="25" spans="1:20" x14ac:dyDescent="0.25">
      <c r="A25" s="146"/>
      <c r="B25" s="146"/>
      <c r="C25" s="144"/>
      <c r="D25" s="144"/>
      <c r="E25" s="144"/>
      <c r="F25" s="144"/>
      <c r="G25" s="144"/>
      <c r="H25" s="144"/>
      <c r="I25" s="3"/>
      <c r="J25" s="158">
        <v>9</v>
      </c>
      <c r="K25" s="157">
        <v>4</v>
      </c>
      <c r="L25" s="191">
        <f>SUM(K15:K25)</f>
        <v>44</v>
      </c>
      <c r="M25" s="20"/>
      <c r="N25" s="167">
        <v>7</v>
      </c>
      <c r="O25" s="84">
        <v>2</v>
      </c>
      <c r="P25" s="32">
        <f>SUM(O15:O25)</f>
        <v>68</v>
      </c>
      <c r="Q25" s="20"/>
      <c r="R25" s="167">
        <v>7</v>
      </c>
      <c r="S25" s="221">
        <v>3</v>
      </c>
      <c r="T25" s="32">
        <f>SUM(S15:S25)</f>
        <v>38</v>
      </c>
    </row>
    <row r="26" spans="1:20" x14ac:dyDescent="0.25">
      <c r="A26" s="131"/>
      <c r="B26" s="131"/>
      <c r="C26" s="145"/>
      <c r="D26" s="145"/>
      <c r="E26" s="145"/>
      <c r="F26" s="145"/>
      <c r="G26" s="145"/>
      <c r="H26" s="23"/>
      <c r="I26" s="3"/>
      <c r="J26" s="158">
        <v>10</v>
      </c>
      <c r="K26" s="157">
        <v>3</v>
      </c>
      <c r="L26" s="191">
        <f>SUM(K15:K26)</f>
        <v>47</v>
      </c>
      <c r="M26" s="1"/>
      <c r="N26" s="167">
        <v>8</v>
      </c>
      <c r="O26" s="84">
        <v>3</v>
      </c>
      <c r="P26" s="32">
        <f>SUM(O15:O26)</f>
        <v>71</v>
      </c>
      <c r="Q26" s="1"/>
      <c r="R26" s="167">
        <v>8</v>
      </c>
      <c r="S26" s="84">
        <v>3</v>
      </c>
      <c r="T26" s="32">
        <f>SUM(S15:S26)</f>
        <v>41</v>
      </c>
    </row>
    <row r="27" spans="1:20" ht="15" customHeight="1" thickBot="1" x14ac:dyDescent="0.3">
      <c r="A27" s="3"/>
      <c r="B27" s="3"/>
      <c r="C27" s="3"/>
      <c r="D27" s="3"/>
      <c r="E27" s="3"/>
      <c r="F27" s="3"/>
      <c r="G27" s="3"/>
      <c r="H27" s="3"/>
      <c r="I27" s="3"/>
      <c r="J27" s="59">
        <v>11</v>
      </c>
      <c r="K27" s="157">
        <v>3</v>
      </c>
      <c r="L27" s="191">
        <f>SUM(K15:K27)</f>
        <v>50</v>
      </c>
      <c r="M27" s="1"/>
      <c r="N27" s="167">
        <v>9</v>
      </c>
      <c r="O27" s="84">
        <v>2</v>
      </c>
      <c r="P27" s="32">
        <f>SUM(O15:O27)</f>
        <v>73</v>
      </c>
      <c r="Q27" s="1"/>
      <c r="R27" s="167">
        <v>9</v>
      </c>
      <c r="S27" s="84">
        <v>3</v>
      </c>
      <c r="T27" s="32">
        <f>SUM(S15:S27)</f>
        <v>44</v>
      </c>
    </row>
    <row r="28" spans="1:20" ht="26.25" thickBot="1" x14ac:dyDescent="0.3">
      <c r="A28" s="497" t="s">
        <v>92</v>
      </c>
      <c r="B28" s="498"/>
      <c r="C28" s="120" t="s">
        <v>87</v>
      </c>
      <c r="D28" s="120" t="s">
        <v>88</v>
      </c>
      <c r="E28" s="120" t="s">
        <v>64</v>
      </c>
      <c r="F28" s="120" t="s">
        <v>63</v>
      </c>
      <c r="G28" s="120" t="s">
        <v>65</v>
      </c>
      <c r="H28" s="77" t="s">
        <v>66</v>
      </c>
      <c r="I28" s="3"/>
      <c r="J28" s="158">
        <v>12</v>
      </c>
      <c r="K28" s="157">
        <v>4</v>
      </c>
      <c r="L28" s="191">
        <f>SUM(K15:K28)</f>
        <v>54</v>
      </c>
      <c r="M28" s="1"/>
      <c r="N28" s="167">
        <v>10</v>
      </c>
      <c r="O28" s="84">
        <v>3</v>
      </c>
      <c r="P28" s="32">
        <f>SUM(O15:O28)</f>
        <v>76</v>
      </c>
      <c r="Q28" s="1"/>
      <c r="R28" s="167">
        <v>10</v>
      </c>
      <c r="S28" s="84">
        <v>3</v>
      </c>
      <c r="T28" s="32">
        <f>SUM(S15:S28)</f>
        <v>47</v>
      </c>
    </row>
    <row r="29" spans="1:20" x14ac:dyDescent="0.25">
      <c r="A29" s="499" t="s">
        <v>73</v>
      </c>
      <c r="B29" s="500"/>
      <c r="C29" s="34">
        <f>pe_coma</f>
        <v>0</v>
      </c>
      <c r="D29" s="83"/>
      <c r="E29" s="83"/>
      <c r="F29" s="83"/>
      <c r="G29" s="83"/>
      <c r="H29" s="35">
        <f>SUM(C29:G29)</f>
        <v>0</v>
      </c>
      <c r="I29" s="1"/>
      <c r="J29" s="158">
        <v>13</v>
      </c>
      <c r="K29" s="157">
        <v>3</v>
      </c>
      <c r="L29" s="191">
        <f>SUM(K15:K29)</f>
        <v>57</v>
      </c>
      <c r="M29" s="1"/>
      <c r="N29" s="167">
        <v>11</v>
      </c>
      <c r="O29" s="84">
        <v>2</v>
      </c>
      <c r="P29" s="32">
        <f>SUM(O15:O29)</f>
        <v>78</v>
      </c>
      <c r="Q29" s="1"/>
      <c r="R29" s="167">
        <v>11</v>
      </c>
      <c r="S29" s="84">
        <v>3</v>
      </c>
      <c r="T29" s="32">
        <f>SUM(S15:S29)</f>
        <v>50</v>
      </c>
    </row>
    <row r="30" spans="1:20" x14ac:dyDescent="0.25">
      <c r="A30" s="501" t="s">
        <v>95</v>
      </c>
      <c r="B30" s="502"/>
      <c r="C30" s="2">
        <f>me_psi</f>
        <v>0</v>
      </c>
      <c r="D30" s="84"/>
      <c r="E30" s="84"/>
      <c r="F30" s="84"/>
      <c r="G30" s="84"/>
      <c r="H30" s="32">
        <f>SUM(C30:G30)</f>
        <v>0</v>
      </c>
      <c r="I30" s="1"/>
      <c r="J30" s="158">
        <v>14</v>
      </c>
      <c r="K30" s="157">
        <v>3</v>
      </c>
      <c r="L30" s="191">
        <f>SUM(K15:K30)</f>
        <v>60</v>
      </c>
      <c r="M30" s="1"/>
      <c r="N30" s="167">
        <v>12</v>
      </c>
      <c r="O30" s="84">
        <v>3</v>
      </c>
      <c r="P30" s="32">
        <f>SUM(O15:O30)</f>
        <v>81</v>
      </c>
      <c r="Q30" s="1"/>
      <c r="R30" s="167">
        <v>12</v>
      </c>
      <c r="S30" s="84">
        <v>3</v>
      </c>
      <c r="T30" s="32">
        <f>SUM(S15:S30)</f>
        <v>53</v>
      </c>
    </row>
    <row r="31" spans="1:20" ht="15.75" thickBot="1" x14ac:dyDescent="0.3">
      <c r="A31" s="501" t="s">
        <v>69</v>
      </c>
      <c r="B31" s="502"/>
      <c r="C31" s="15">
        <f>me_insane</f>
        <v>0</v>
      </c>
      <c r="D31" s="84"/>
      <c r="E31" s="84"/>
      <c r="F31" s="84"/>
      <c r="G31" s="84"/>
      <c r="H31" s="32">
        <f t="shared" ref="H31:H40" si="2">SUM(C31:G31)</f>
        <v>0</v>
      </c>
      <c r="I31" s="1"/>
      <c r="J31" s="160">
        <v>15</v>
      </c>
      <c r="K31" s="159">
        <v>4</v>
      </c>
      <c r="L31" s="220">
        <f>SUM(K15:K31)</f>
        <v>64</v>
      </c>
      <c r="M31" s="1"/>
      <c r="N31" s="167">
        <v>13</v>
      </c>
      <c r="O31" s="84">
        <v>2</v>
      </c>
      <c r="P31" s="32">
        <f>SUM(O15:O31)</f>
        <v>83</v>
      </c>
      <c r="Q31" s="1"/>
      <c r="R31" s="167">
        <v>13</v>
      </c>
      <c r="S31" s="84">
        <v>3</v>
      </c>
      <c r="T31" s="32">
        <f>SUM(S15:S31)</f>
        <v>56</v>
      </c>
    </row>
    <row r="32" spans="1:20" x14ac:dyDescent="0.25">
      <c r="A32" s="501" t="s">
        <v>94</v>
      </c>
      <c r="B32" s="502"/>
      <c r="C32" s="2">
        <f>pe_magic</f>
        <v>0</v>
      </c>
      <c r="D32" s="84"/>
      <c r="E32" s="84">
        <v>1</v>
      </c>
      <c r="F32" s="84"/>
      <c r="G32" s="84"/>
      <c r="H32" s="32">
        <f t="shared" si="2"/>
        <v>1</v>
      </c>
      <c r="I32" s="1"/>
      <c r="J32" s="16"/>
      <c r="K32" s="16"/>
      <c r="L32" s="16"/>
      <c r="M32" s="1"/>
      <c r="N32" s="167">
        <v>14</v>
      </c>
      <c r="O32" s="84">
        <v>3</v>
      </c>
      <c r="P32" s="32">
        <f>SUM(O15:O32)</f>
        <v>86</v>
      </c>
      <c r="Q32" s="1"/>
      <c r="R32" s="167">
        <v>14</v>
      </c>
      <c r="S32" s="84">
        <v>3</v>
      </c>
      <c r="T32" s="32">
        <f>SUM(S15:S32)</f>
        <v>59</v>
      </c>
    </row>
    <row r="33" spans="1:20" ht="15.75" thickBot="1" x14ac:dyDescent="0.3">
      <c r="A33" s="523" t="s">
        <v>101</v>
      </c>
      <c r="B33" s="524"/>
      <c r="C33" s="2">
        <f>pe_magic</f>
        <v>0</v>
      </c>
      <c r="D33" s="84"/>
      <c r="E33" s="84"/>
      <c r="F33" s="84"/>
      <c r="G33" s="84"/>
      <c r="H33" s="32">
        <f t="shared" si="2"/>
        <v>0</v>
      </c>
      <c r="I33" s="1"/>
      <c r="J33" s="1"/>
      <c r="K33" s="1"/>
      <c r="L33" s="1"/>
      <c r="M33" s="1"/>
      <c r="N33" s="169">
        <v>15</v>
      </c>
      <c r="O33" s="90">
        <v>2</v>
      </c>
      <c r="P33" s="168">
        <f>SUM(O15:O33)</f>
        <v>88</v>
      </c>
      <c r="Q33" s="1"/>
      <c r="R33" s="169">
        <v>15</v>
      </c>
      <c r="S33" s="90">
        <v>3</v>
      </c>
      <c r="T33" s="168">
        <f>SUM(S15:S33)</f>
        <v>62</v>
      </c>
    </row>
    <row r="34" spans="1:20" x14ac:dyDescent="0.25">
      <c r="A34" s="501" t="s">
        <v>103</v>
      </c>
      <c r="B34" s="502"/>
      <c r="C34" s="2">
        <f>pe_magic</f>
        <v>0</v>
      </c>
      <c r="D34" s="84"/>
      <c r="E34" s="84"/>
      <c r="F34" s="84"/>
      <c r="G34" s="84"/>
      <c r="H34" s="32">
        <f t="shared" si="2"/>
        <v>0</v>
      </c>
      <c r="I34" s="1"/>
      <c r="J34" s="1"/>
      <c r="K34" s="1"/>
      <c r="L34" s="1"/>
      <c r="M34" s="1"/>
      <c r="N34" s="20"/>
      <c r="O34" s="20"/>
      <c r="P34" s="20"/>
      <c r="Q34" s="1"/>
      <c r="R34" s="20"/>
      <c r="S34" s="20"/>
      <c r="T34" s="20"/>
    </row>
    <row r="35" spans="1:20" x14ac:dyDescent="0.25">
      <c r="A35" s="501" t="s">
        <v>97</v>
      </c>
      <c r="B35" s="502"/>
      <c r="C35" s="2">
        <f>pe_magic</f>
        <v>0</v>
      </c>
      <c r="D35" s="84"/>
      <c r="E35" s="84"/>
      <c r="F35" s="84"/>
      <c r="G35" s="84"/>
      <c r="H35" s="32">
        <f t="shared" si="2"/>
        <v>0</v>
      </c>
      <c r="I35" s="1"/>
      <c r="J35" s="1"/>
      <c r="K35" s="1"/>
      <c r="L35" s="1"/>
      <c r="M35" s="1"/>
      <c r="N35" s="1"/>
      <c r="O35" s="1"/>
      <c r="P35" s="1"/>
      <c r="Q35" s="1"/>
      <c r="R35" s="1"/>
      <c r="S35" s="1"/>
      <c r="T35" s="1"/>
    </row>
    <row r="36" spans="1:20" x14ac:dyDescent="0.25">
      <c r="A36" s="501" t="s">
        <v>96</v>
      </c>
      <c r="B36" s="502"/>
      <c r="C36" s="19"/>
      <c r="D36" s="84"/>
      <c r="E36" s="84">
        <v>2</v>
      </c>
      <c r="F36" s="84"/>
      <c r="G36" s="84"/>
      <c r="H36" s="32">
        <f t="shared" si="2"/>
        <v>2</v>
      </c>
      <c r="I36" s="1"/>
      <c r="J36" s="1"/>
      <c r="K36" s="1"/>
      <c r="L36" s="1"/>
      <c r="M36" s="1"/>
      <c r="N36" s="1"/>
      <c r="O36" s="1"/>
      <c r="P36" s="1"/>
      <c r="Q36" s="1"/>
      <c r="R36" s="1"/>
      <c r="S36" s="1"/>
      <c r="T36" s="1"/>
    </row>
    <row r="37" spans="1:20" x14ac:dyDescent="0.25">
      <c r="A37" s="523" t="s">
        <v>102</v>
      </c>
      <c r="B37" s="524"/>
      <c r="C37" s="19"/>
      <c r="D37" s="84"/>
      <c r="E37" s="84"/>
      <c r="F37" s="84"/>
      <c r="G37" s="84"/>
      <c r="H37" s="32">
        <f t="shared" si="2"/>
        <v>0</v>
      </c>
      <c r="I37" s="1"/>
      <c r="J37" s="1"/>
      <c r="K37" s="1"/>
      <c r="L37" s="1"/>
      <c r="M37" s="1"/>
      <c r="N37" s="1"/>
      <c r="O37" s="1"/>
      <c r="P37" s="1"/>
      <c r="Q37" s="1"/>
      <c r="R37" s="1"/>
      <c r="S37" s="1"/>
      <c r="T37" s="1"/>
    </row>
    <row r="38" spans="1:20" x14ac:dyDescent="0.25">
      <c r="A38" s="501" t="s">
        <v>98</v>
      </c>
      <c r="B38" s="502"/>
      <c r="C38" s="15">
        <f>IF(total_iq&gt;48, 7, IF(total_iq&gt;30, ROUNDUP((total_iq-30)/3,0), 0))</f>
        <v>0</v>
      </c>
      <c r="D38" s="84"/>
      <c r="E38" s="84"/>
      <c r="F38" s="84"/>
      <c r="G38" s="84"/>
      <c r="H38" s="32">
        <f t="shared" si="2"/>
        <v>0</v>
      </c>
      <c r="I38" s="1"/>
      <c r="J38" s="1"/>
      <c r="K38" s="1"/>
    </row>
    <row r="39" spans="1:20" x14ac:dyDescent="0.25">
      <c r="A39" s="501" t="s">
        <v>99</v>
      </c>
      <c r="B39" s="502"/>
      <c r="C39" s="15">
        <f>IF(total_me&gt;30, ROUNDUP((total_me-30)/10,0), 0)</f>
        <v>0</v>
      </c>
      <c r="D39" s="84"/>
      <c r="E39" s="84">
        <v>2</v>
      </c>
      <c r="F39" s="84"/>
      <c r="G39" s="84"/>
      <c r="H39" s="32">
        <f t="shared" si="2"/>
        <v>2</v>
      </c>
      <c r="I39" s="1"/>
      <c r="J39" s="1"/>
      <c r="K39" s="1"/>
    </row>
    <row r="40" spans="1:20" ht="15.75" thickBot="1" x14ac:dyDescent="0.3">
      <c r="A40" s="514" t="s">
        <v>100</v>
      </c>
      <c r="B40" s="515"/>
      <c r="C40" s="55"/>
      <c r="D40" s="85"/>
      <c r="E40" s="85"/>
      <c r="F40" s="85"/>
      <c r="G40" s="85"/>
      <c r="H40" s="36">
        <f t="shared" si="2"/>
        <v>0</v>
      </c>
      <c r="I40" s="1"/>
      <c r="J40" s="1"/>
      <c r="K40" s="1"/>
    </row>
    <row r="41" spans="1:20" x14ac:dyDescent="0.25">
      <c r="A41" s="505" t="s">
        <v>105</v>
      </c>
      <c r="B41" s="506"/>
      <c r="C41" s="506"/>
      <c r="D41" s="506"/>
      <c r="E41" s="506"/>
      <c r="F41" s="506"/>
      <c r="G41" s="506"/>
      <c r="H41" s="507"/>
      <c r="I41" s="1"/>
      <c r="J41" s="1"/>
      <c r="K41" s="1"/>
    </row>
    <row r="42" spans="1:20" x14ac:dyDescent="0.25">
      <c r="A42" s="508"/>
      <c r="B42" s="509"/>
      <c r="C42" s="509"/>
      <c r="D42" s="509"/>
      <c r="E42" s="509"/>
      <c r="F42" s="509"/>
      <c r="G42" s="509"/>
      <c r="H42" s="510"/>
      <c r="I42" s="1"/>
      <c r="J42" s="1"/>
      <c r="K42" s="1"/>
    </row>
    <row r="43" spans="1:20" x14ac:dyDescent="0.25">
      <c r="A43" s="508"/>
      <c r="B43" s="509"/>
      <c r="C43" s="509"/>
      <c r="D43" s="509"/>
      <c r="E43" s="509"/>
      <c r="F43" s="509"/>
      <c r="G43" s="509"/>
      <c r="H43" s="510"/>
      <c r="I43" s="1"/>
      <c r="J43" s="1"/>
      <c r="K43" s="1"/>
    </row>
    <row r="44" spans="1:20" x14ac:dyDescent="0.25">
      <c r="A44" s="508"/>
      <c r="B44" s="509"/>
      <c r="C44" s="509"/>
      <c r="D44" s="509"/>
      <c r="E44" s="509"/>
      <c r="F44" s="509"/>
      <c r="G44" s="509"/>
      <c r="H44" s="510"/>
      <c r="I44" s="1"/>
      <c r="J44" s="1"/>
      <c r="K44" s="1"/>
    </row>
    <row r="45" spans="1:20" ht="15.75" thickBot="1" x14ac:dyDescent="0.3">
      <c r="A45" s="511"/>
      <c r="B45" s="512"/>
      <c r="C45" s="512"/>
      <c r="D45" s="512"/>
      <c r="E45" s="512"/>
      <c r="F45" s="512"/>
      <c r="G45" s="512"/>
      <c r="H45" s="513"/>
      <c r="I45" s="1"/>
      <c r="J45" s="1"/>
      <c r="K45" s="1"/>
    </row>
    <row r="46" spans="1:20" x14ac:dyDescent="0.25">
      <c r="A46" s="1"/>
      <c r="B46" s="1"/>
      <c r="C46" s="1"/>
      <c r="D46" s="1"/>
      <c r="E46" s="1"/>
      <c r="F46" s="1"/>
      <c r="G46" s="1"/>
      <c r="H46" s="134"/>
      <c r="I46" s="1"/>
      <c r="J46" s="1"/>
      <c r="K46" s="1"/>
    </row>
    <row r="47" spans="1:20" x14ac:dyDescent="0.25">
      <c r="A47" s="146"/>
      <c r="B47" s="146"/>
      <c r="C47" s="144"/>
      <c r="D47" s="144"/>
      <c r="E47" s="144"/>
      <c r="F47" s="144"/>
      <c r="G47" s="144"/>
      <c r="H47" s="144"/>
      <c r="I47" s="1"/>
      <c r="J47" s="131"/>
      <c r="K47" s="131"/>
    </row>
    <row r="48" spans="1:20" x14ac:dyDescent="0.25">
      <c r="A48" s="131"/>
      <c r="B48" s="131"/>
      <c r="C48" s="145"/>
      <c r="D48" s="145"/>
      <c r="E48" s="145"/>
      <c r="F48" s="145"/>
      <c r="G48" s="145"/>
      <c r="H48" s="23"/>
      <c r="I48" s="1"/>
      <c r="J48" s="132"/>
      <c r="K48" s="132"/>
    </row>
    <row r="49" spans="1:11" x14ac:dyDescent="0.25">
      <c r="A49" s="1"/>
      <c r="B49" s="1"/>
      <c r="C49" s="1"/>
      <c r="D49" s="1"/>
      <c r="E49" s="1"/>
      <c r="F49" s="1"/>
      <c r="G49" s="1"/>
      <c r="H49" s="1"/>
      <c r="I49" s="1"/>
      <c r="J49" s="133"/>
      <c r="K49" s="23"/>
    </row>
    <row r="50" spans="1:11" x14ac:dyDescent="0.25">
      <c r="A50" s="1"/>
      <c r="B50" s="1"/>
      <c r="C50" s="1"/>
      <c r="D50" s="1"/>
      <c r="E50" s="1"/>
      <c r="F50" s="1"/>
      <c r="G50" s="1"/>
      <c r="H50" s="1"/>
      <c r="I50" s="1"/>
      <c r="J50" s="131"/>
      <c r="K50" s="131"/>
    </row>
    <row r="51" spans="1:11" x14ac:dyDescent="0.25">
      <c r="A51" s="1"/>
      <c r="B51" s="1"/>
      <c r="C51" s="1"/>
      <c r="D51" s="1"/>
      <c r="E51" s="1"/>
      <c r="F51" s="1"/>
      <c r="G51" s="1"/>
      <c r="H51" s="1"/>
      <c r="I51" s="1"/>
      <c r="J51" s="128"/>
      <c r="K51" s="23"/>
    </row>
    <row r="52" spans="1:11" x14ac:dyDescent="0.25">
      <c r="A52" s="1"/>
      <c r="B52" s="1"/>
      <c r="C52" s="1"/>
      <c r="D52" s="1"/>
      <c r="E52" s="1"/>
      <c r="F52" s="1"/>
      <c r="G52" s="1"/>
      <c r="H52" s="1"/>
      <c r="I52" s="1"/>
      <c r="J52" s="23"/>
      <c r="K52" s="23"/>
    </row>
    <row r="53" spans="1:11" x14ac:dyDescent="0.25">
      <c r="A53" s="1"/>
      <c r="B53" s="1"/>
      <c r="C53" s="1"/>
      <c r="D53" s="1"/>
      <c r="E53" s="1"/>
      <c r="F53" s="1"/>
      <c r="G53" s="1"/>
      <c r="H53" s="1"/>
      <c r="I53" s="1"/>
      <c r="J53" s="23"/>
      <c r="K53" s="23"/>
    </row>
    <row r="54" spans="1:11" x14ac:dyDescent="0.25">
      <c r="A54" s="1"/>
      <c r="B54" s="1"/>
      <c r="C54" s="1"/>
      <c r="D54" s="1"/>
      <c r="E54" s="1"/>
      <c r="F54" s="1"/>
      <c r="G54" s="1"/>
      <c r="H54" s="1"/>
      <c r="I54" s="1"/>
      <c r="J54" s="127"/>
      <c r="K54" s="127"/>
    </row>
    <row r="55" spans="1:11" x14ac:dyDescent="0.25">
      <c r="A55" s="1"/>
      <c r="B55" s="1"/>
      <c r="C55" s="1"/>
      <c r="D55" s="1"/>
      <c r="E55" s="1"/>
      <c r="F55" s="1"/>
      <c r="G55" s="1"/>
      <c r="H55" s="1"/>
      <c r="I55" s="1"/>
      <c r="J55" s="23"/>
      <c r="K55" s="23"/>
    </row>
    <row r="56" spans="1:11" x14ac:dyDescent="0.25">
      <c r="A56" s="1"/>
      <c r="B56" s="1"/>
      <c r="C56" s="1"/>
      <c r="D56" s="1"/>
      <c r="E56" s="1"/>
      <c r="F56" s="1"/>
      <c r="G56" s="1"/>
      <c r="H56" s="1"/>
      <c r="I56" s="1"/>
      <c r="J56" s="23"/>
      <c r="K56" s="23"/>
    </row>
    <row r="57" spans="1:11" x14ac:dyDescent="0.25">
      <c r="A57" s="1"/>
      <c r="B57" s="1"/>
      <c r="C57" s="1"/>
      <c r="D57" s="1"/>
      <c r="E57" s="1"/>
      <c r="F57" s="1"/>
      <c r="G57" s="1"/>
      <c r="H57" s="1"/>
      <c r="I57" s="1"/>
      <c r="J57" s="23"/>
      <c r="K57" s="23"/>
    </row>
    <row r="58" spans="1:11" x14ac:dyDescent="0.25">
      <c r="A58" s="1"/>
      <c r="B58" s="1"/>
      <c r="C58" s="1"/>
      <c r="D58" s="1"/>
      <c r="E58" s="1"/>
      <c r="F58" s="1"/>
      <c r="G58" s="1"/>
      <c r="H58" s="1"/>
      <c r="I58" s="1"/>
      <c r="J58" s="131"/>
      <c r="K58" s="131"/>
    </row>
    <row r="59" spans="1:11" x14ac:dyDescent="0.25">
      <c r="A59" s="1"/>
      <c r="B59" s="1"/>
      <c r="C59" s="1"/>
      <c r="D59" s="1"/>
      <c r="E59" s="1"/>
      <c r="F59" s="1"/>
      <c r="G59" s="1"/>
      <c r="H59" s="1"/>
      <c r="I59" s="1"/>
      <c r="J59" s="23"/>
      <c r="K59" s="23"/>
    </row>
    <row r="60" spans="1:11" x14ac:dyDescent="0.25">
      <c r="A60" s="1"/>
      <c r="B60" s="1"/>
      <c r="C60" s="1"/>
      <c r="D60" s="1"/>
      <c r="E60" s="1"/>
      <c r="F60" s="1"/>
      <c r="G60" s="1"/>
      <c r="H60" s="1"/>
      <c r="I60" s="1"/>
      <c r="J60" s="23"/>
      <c r="K60" s="23"/>
    </row>
    <row r="61" spans="1:11" x14ac:dyDescent="0.25">
      <c r="A61" s="1"/>
      <c r="B61" s="1"/>
      <c r="C61" s="1"/>
      <c r="D61" s="1"/>
      <c r="E61" s="1"/>
      <c r="F61" s="1"/>
      <c r="G61" s="1"/>
      <c r="H61" s="1"/>
      <c r="I61" s="1"/>
      <c r="J61" s="23"/>
      <c r="K61" s="23"/>
    </row>
    <row r="62" spans="1:11" x14ac:dyDescent="0.25">
      <c r="A62" s="1"/>
      <c r="B62" s="1"/>
      <c r="C62" s="1"/>
      <c r="D62" s="1"/>
      <c r="E62" s="1"/>
      <c r="F62" s="1"/>
      <c r="G62" s="1"/>
      <c r="H62" s="1"/>
      <c r="I62" s="1"/>
      <c r="J62" s="131"/>
      <c r="K62" s="131"/>
    </row>
    <row r="63" spans="1:11" x14ac:dyDescent="0.25">
      <c r="A63" s="1"/>
      <c r="B63" s="1"/>
      <c r="C63" s="1"/>
      <c r="D63" s="1"/>
      <c r="E63" s="1"/>
      <c r="F63" s="1"/>
      <c r="G63" s="1"/>
      <c r="H63" s="1"/>
      <c r="I63" s="1"/>
      <c r="J63" s="23"/>
      <c r="K63" s="23"/>
    </row>
    <row r="64" spans="1:11" x14ac:dyDescent="0.25">
      <c r="A64" s="1"/>
      <c r="B64" s="1"/>
      <c r="C64" s="1"/>
      <c r="D64" s="1"/>
      <c r="E64" s="1"/>
      <c r="F64" s="1"/>
      <c r="G64" s="1"/>
      <c r="H64" s="1"/>
      <c r="I64" s="1"/>
      <c r="J64" s="23"/>
      <c r="K64" s="23"/>
    </row>
    <row r="65" spans="1:11" x14ac:dyDescent="0.25">
      <c r="A65" s="1"/>
      <c r="B65" s="1"/>
      <c r="C65" s="1"/>
      <c r="D65" s="1"/>
      <c r="E65" s="1"/>
      <c r="F65" s="1"/>
      <c r="G65" s="1"/>
      <c r="H65" s="1"/>
      <c r="I65" s="1"/>
      <c r="J65" s="23"/>
      <c r="K65" s="23"/>
    </row>
  </sheetData>
  <sheetProtection algorithmName="SHA-512" hashValue="JTf6ncjWhW7Hw6EZ2P3EYQiNbsJ3nV85MQgj4ZeVGZx5PXQLdX9OLU+Kl3rr3oPYu6z0L2kAE0I47f8IJ0uUqg==" saltValue="v8Dx2HAHmas35wOB41Z7QA==" spinCount="100000" sheet="1" objects="1" scenarios="1" selectLockedCells="1"/>
  <mergeCells count="33">
    <mergeCell ref="A1:K1"/>
    <mergeCell ref="A2:K2"/>
    <mergeCell ref="J12:T12"/>
    <mergeCell ref="A19:B19"/>
    <mergeCell ref="A20:B20"/>
    <mergeCell ref="R14:T14"/>
    <mergeCell ref="L15:L16"/>
    <mergeCell ref="P15:P18"/>
    <mergeCell ref="T15:T18"/>
    <mergeCell ref="J14:L14"/>
    <mergeCell ref="A21:B21"/>
    <mergeCell ref="A22:B22"/>
    <mergeCell ref="A14:B14"/>
    <mergeCell ref="A15:B15"/>
    <mergeCell ref="A16:B16"/>
    <mergeCell ref="A17:B17"/>
    <mergeCell ref="A18:B18"/>
    <mergeCell ref="A38:B38"/>
    <mergeCell ref="A39:B39"/>
    <mergeCell ref="A40:B40"/>
    <mergeCell ref="A41:H45"/>
    <mergeCell ref="N14:P14"/>
    <mergeCell ref="A37:B37"/>
    <mergeCell ref="A28:B28"/>
    <mergeCell ref="A29:B29"/>
    <mergeCell ref="A30:B30"/>
    <mergeCell ref="A31:B31"/>
    <mergeCell ref="A32:B32"/>
    <mergeCell ref="A33:B33"/>
    <mergeCell ref="A34:B34"/>
    <mergeCell ref="A35:B35"/>
    <mergeCell ref="A36:B36"/>
    <mergeCell ref="A23:B23"/>
  </mergeCells>
  <dataValidations count="1">
    <dataValidation type="list" allowBlank="1" showInputMessage="1" showErrorMessage="1" sqref="J48:K50" xr:uid="{00000000-0002-0000-0500-000000000000}">
      <formula1>"Normal, Giant, Supernatural"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N58"/>
  <sheetViews>
    <sheetView workbookViewId="0">
      <selection activeCell="A20" sqref="A20:C20"/>
    </sheetView>
  </sheetViews>
  <sheetFormatPr defaultRowHeight="15" x14ac:dyDescent="0.25"/>
  <cols>
    <col min="1" max="3" width="8.140625" customWidth="1"/>
    <col min="4" max="4" width="4.28515625" customWidth="1"/>
    <col min="5" max="5" width="6" customWidth="1"/>
    <col min="6" max="6" width="6.140625" customWidth="1"/>
    <col min="7" max="7" width="5.42578125" customWidth="1"/>
    <col min="8" max="8" width="8.5703125" customWidth="1"/>
    <col min="9" max="10" width="6.140625" customWidth="1"/>
    <col min="11" max="11" width="5.28515625" customWidth="1"/>
    <col min="12" max="12" width="5.7109375" customWidth="1"/>
    <col min="13" max="14" width="6.140625" customWidth="1"/>
  </cols>
  <sheetData>
    <row r="1" spans="1:14" ht="28.5" customHeight="1" thickBot="1" x14ac:dyDescent="0.3">
      <c r="A1" s="543" t="s">
        <v>24</v>
      </c>
      <c r="B1" s="544"/>
      <c r="C1" s="545"/>
      <c r="D1" s="63" t="s">
        <v>46</v>
      </c>
      <c r="E1" s="64" t="s">
        <v>123</v>
      </c>
      <c r="F1" s="64" t="s">
        <v>125</v>
      </c>
      <c r="G1" s="64" t="s">
        <v>45</v>
      </c>
      <c r="H1" s="64" t="s">
        <v>149</v>
      </c>
      <c r="I1" s="64" t="s">
        <v>88</v>
      </c>
      <c r="J1" s="64" t="s">
        <v>148</v>
      </c>
      <c r="K1" s="65" t="s">
        <v>47</v>
      </c>
      <c r="L1" s="121" t="s">
        <v>48</v>
      </c>
      <c r="M1" s="66" t="s">
        <v>124</v>
      </c>
      <c r="N1" s="67" t="s">
        <v>126</v>
      </c>
    </row>
    <row r="2" spans="1:14" x14ac:dyDescent="0.25">
      <c r="A2" s="549" t="s">
        <v>294</v>
      </c>
      <c r="B2" s="550"/>
      <c r="C2" s="551"/>
      <c r="D2" s="119">
        <v>30</v>
      </c>
      <c r="E2" s="109"/>
      <c r="F2" s="110"/>
      <c r="G2" s="111">
        <v>5</v>
      </c>
      <c r="H2" s="111">
        <v>1</v>
      </c>
      <c r="I2" s="111"/>
      <c r="J2" s="112">
        <f>'C1-WT'!K5</f>
        <v>0</v>
      </c>
      <c r="K2" s="113"/>
      <c r="L2" s="114">
        <f t="shared" ref="L2:L46" si="0">D2+SUM(I2:K2)+G2*(calc_lev-H2)</f>
        <v>30</v>
      </c>
      <c r="M2" s="115">
        <f t="shared" ref="M2:M46" si="1">IF(E2="", 0, E2+SUM(I2:K2)+G2*(calc_lev-H2))</f>
        <v>0</v>
      </c>
      <c r="N2" s="116">
        <f t="shared" ref="N2:N46" si="2">IF(F2="", 0, F2+SUM(I2:K2)+G2*(calc_lev-H2))</f>
        <v>0</v>
      </c>
    </row>
    <row r="3" spans="1:14" x14ac:dyDescent="0.25">
      <c r="A3" s="546" t="s">
        <v>295</v>
      </c>
      <c r="B3" s="547"/>
      <c r="C3" s="548"/>
      <c r="D3" s="95">
        <v>10</v>
      </c>
      <c r="E3" s="86"/>
      <c r="F3" s="87"/>
      <c r="G3" s="84">
        <v>5</v>
      </c>
      <c r="H3" s="84">
        <v>1</v>
      </c>
      <c r="I3" s="84"/>
      <c r="J3" s="2">
        <f>'C1-WT'!K5</f>
        <v>0</v>
      </c>
      <c r="K3" s="92"/>
      <c r="L3" s="97">
        <f t="shared" si="0"/>
        <v>10</v>
      </c>
      <c r="M3" s="68">
        <f t="shared" si="1"/>
        <v>0</v>
      </c>
      <c r="N3" s="69">
        <f t="shared" si="2"/>
        <v>0</v>
      </c>
    </row>
    <row r="4" spans="1:14" x14ac:dyDescent="0.25">
      <c r="A4" s="546" t="s">
        <v>296</v>
      </c>
      <c r="B4" s="547"/>
      <c r="C4" s="548"/>
      <c r="D4" s="95">
        <v>20</v>
      </c>
      <c r="E4" s="86"/>
      <c r="F4" s="87"/>
      <c r="G4" s="84">
        <v>5</v>
      </c>
      <c r="H4" s="84">
        <v>1</v>
      </c>
      <c r="I4" s="84"/>
      <c r="J4" s="2">
        <f>'C1-WT'!K5</f>
        <v>0</v>
      </c>
      <c r="K4" s="92"/>
      <c r="L4" s="97">
        <f t="shared" si="0"/>
        <v>20</v>
      </c>
      <c r="M4" s="68">
        <f t="shared" si="1"/>
        <v>0</v>
      </c>
      <c r="N4" s="69">
        <f t="shared" si="2"/>
        <v>0</v>
      </c>
    </row>
    <row r="5" spans="1:14" x14ac:dyDescent="0.25">
      <c r="A5" s="552" t="s">
        <v>370</v>
      </c>
      <c r="B5" s="553"/>
      <c r="C5" s="554"/>
      <c r="D5" s="95">
        <v>30</v>
      </c>
      <c r="E5" s="86"/>
      <c r="F5" s="87"/>
      <c r="G5" s="84">
        <v>5</v>
      </c>
      <c r="H5" s="83">
        <v>1</v>
      </c>
      <c r="I5" s="84"/>
      <c r="J5" s="2">
        <f>'C1-WT'!K5</f>
        <v>0</v>
      </c>
      <c r="K5" s="92">
        <v>10</v>
      </c>
      <c r="L5" s="97">
        <f t="shared" si="0"/>
        <v>40</v>
      </c>
      <c r="M5" s="68">
        <f t="shared" si="1"/>
        <v>0</v>
      </c>
      <c r="N5" s="69">
        <f t="shared" si="2"/>
        <v>0</v>
      </c>
    </row>
    <row r="6" spans="1:14" x14ac:dyDescent="0.25">
      <c r="A6" s="546" t="s">
        <v>342</v>
      </c>
      <c r="B6" s="547"/>
      <c r="C6" s="548"/>
      <c r="D6" s="95">
        <v>25</v>
      </c>
      <c r="E6" s="86"/>
      <c r="F6" s="87"/>
      <c r="G6" s="84">
        <v>5</v>
      </c>
      <c r="H6" s="84">
        <v>1</v>
      </c>
      <c r="I6" s="84"/>
      <c r="J6" s="2">
        <f>'C1-WT'!K5</f>
        <v>0</v>
      </c>
      <c r="K6" s="92">
        <v>10</v>
      </c>
      <c r="L6" s="97">
        <f t="shared" si="0"/>
        <v>35</v>
      </c>
      <c r="M6" s="68">
        <f t="shared" si="1"/>
        <v>0</v>
      </c>
      <c r="N6" s="69">
        <f t="shared" si="2"/>
        <v>0</v>
      </c>
    </row>
    <row r="7" spans="1:14" x14ac:dyDescent="0.25">
      <c r="A7" s="546" t="s">
        <v>343</v>
      </c>
      <c r="B7" s="547"/>
      <c r="C7" s="548"/>
      <c r="D7" s="94">
        <v>98</v>
      </c>
      <c r="E7" s="86"/>
      <c r="F7" s="87"/>
      <c r="G7" s="84"/>
      <c r="H7" s="84">
        <v>1</v>
      </c>
      <c r="I7" s="84"/>
      <c r="J7" s="2">
        <f>'C1-WT'!K5</f>
        <v>0</v>
      </c>
      <c r="K7" s="92"/>
      <c r="L7" s="97">
        <f t="shared" si="0"/>
        <v>98</v>
      </c>
      <c r="M7" s="68">
        <f t="shared" si="1"/>
        <v>0</v>
      </c>
      <c r="N7" s="69">
        <f t="shared" si="2"/>
        <v>0</v>
      </c>
    </row>
    <row r="8" spans="1:14" x14ac:dyDescent="0.25">
      <c r="A8" s="552" t="s">
        <v>363</v>
      </c>
      <c r="B8" s="553"/>
      <c r="C8" s="554"/>
      <c r="D8" s="95">
        <v>40</v>
      </c>
      <c r="E8" s="86"/>
      <c r="F8" s="87"/>
      <c r="G8" s="84">
        <v>5</v>
      </c>
      <c r="H8" s="83">
        <v>1</v>
      </c>
      <c r="I8" s="84">
        <v>20</v>
      </c>
      <c r="J8" s="2">
        <f>'C1-WT'!K5</f>
        <v>0</v>
      </c>
      <c r="K8" s="92"/>
      <c r="L8" s="97">
        <f t="shared" si="0"/>
        <v>60</v>
      </c>
      <c r="M8" s="68">
        <f t="shared" si="1"/>
        <v>0</v>
      </c>
      <c r="N8" s="69">
        <f t="shared" si="2"/>
        <v>0</v>
      </c>
    </row>
    <row r="9" spans="1:14" x14ac:dyDescent="0.25">
      <c r="A9" s="546" t="s">
        <v>317</v>
      </c>
      <c r="B9" s="547"/>
      <c r="C9" s="548"/>
      <c r="D9" s="95">
        <v>40</v>
      </c>
      <c r="E9" s="86"/>
      <c r="F9" s="87"/>
      <c r="G9" s="84">
        <v>5</v>
      </c>
      <c r="H9" s="84">
        <v>1</v>
      </c>
      <c r="I9" s="84">
        <v>20</v>
      </c>
      <c r="J9" s="2">
        <f>'C1-WT'!K5</f>
        <v>0</v>
      </c>
      <c r="K9" s="92"/>
      <c r="L9" s="97">
        <f t="shared" si="0"/>
        <v>60</v>
      </c>
      <c r="M9" s="68">
        <f t="shared" si="1"/>
        <v>0</v>
      </c>
      <c r="N9" s="69">
        <f t="shared" si="2"/>
        <v>0</v>
      </c>
    </row>
    <row r="10" spans="1:14" x14ac:dyDescent="0.25">
      <c r="A10" s="546" t="s">
        <v>347</v>
      </c>
      <c r="B10" s="547"/>
      <c r="C10" s="548"/>
      <c r="D10" s="95">
        <v>30</v>
      </c>
      <c r="E10" s="86"/>
      <c r="F10" s="87"/>
      <c r="G10" s="84">
        <v>5</v>
      </c>
      <c r="H10" s="84">
        <v>1</v>
      </c>
      <c r="I10" s="84">
        <v>15</v>
      </c>
      <c r="J10" s="2">
        <f>'C1-WT'!K5</f>
        <v>0</v>
      </c>
      <c r="K10" s="92"/>
      <c r="L10" s="97">
        <f t="shared" si="0"/>
        <v>45</v>
      </c>
      <c r="M10" s="68">
        <f t="shared" si="1"/>
        <v>0</v>
      </c>
      <c r="N10" s="69">
        <f t="shared" si="2"/>
        <v>0</v>
      </c>
    </row>
    <row r="11" spans="1:14" x14ac:dyDescent="0.25">
      <c r="A11" s="552" t="s">
        <v>313</v>
      </c>
      <c r="B11" s="553"/>
      <c r="C11" s="554"/>
      <c r="D11" s="95">
        <v>45</v>
      </c>
      <c r="E11" s="86"/>
      <c r="F11" s="87"/>
      <c r="G11" s="84">
        <v>5</v>
      </c>
      <c r="H11" s="83">
        <v>1</v>
      </c>
      <c r="I11" s="84">
        <v>20</v>
      </c>
      <c r="J11" s="2">
        <f>'C1-WT'!K5</f>
        <v>0</v>
      </c>
      <c r="K11" s="92">
        <v>5</v>
      </c>
      <c r="L11" s="97">
        <f t="shared" si="0"/>
        <v>70</v>
      </c>
      <c r="M11" s="68">
        <f t="shared" si="1"/>
        <v>0</v>
      </c>
      <c r="N11" s="69">
        <f t="shared" si="2"/>
        <v>0</v>
      </c>
    </row>
    <row r="12" spans="1:14" x14ac:dyDescent="0.25">
      <c r="A12" s="546" t="s">
        <v>290</v>
      </c>
      <c r="B12" s="547"/>
      <c r="C12" s="548"/>
      <c r="D12" s="94">
        <v>40</v>
      </c>
      <c r="E12" s="86">
        <v>35</v>
      </c>
      <c r="F12" s="87"/>
      <c r="G12" s="84">
        <v>5</v>
      </c>
      <c r="H12" s="84">
        <v>1</v>
      </c>
      <c r="I12" s="84">
        <v>10</v>
      </c>
      <c r="J12" s="2">
        <f>'C1-WT'!K5</f>
        <v>0</v>
      </c>
      <c r="K12" s="92"/>
      <c r="L12" s="97">
        <f t="shared" si="0"/>
        <v>50</v>
      </c>
      <c r="M12" s="68">
        <f t="shared" si="1"/>
        <v>45</v>
      </c>
      <c r="N12" s="69">
        <f t="shared" si="2"/>
        <v>0</v>
      </c>
    </row>
    <row r="13" spans="1:14" x14ac:dyDescent="0.25">
      <c r="A13" s="546" t="s">
        <v>364</v>
      </c>
      <c r="B13" s="547"/>
      <c r="C13" s="548"/>
      <c r="D13" s="95">
        <v>25</v>
      </c>
      <c r="E13" s="86"/>
      <c r="F13" s="87"/>
      <c r="G13" s="84">
        <v>5</v>
      </c>
      <c r="H13" s="84">
        <v>1</v>
      </c>
      <c r="I13" s="84">
        <v>15</v>
      </c>
      <c r="J13" s="2">
        <f>'C1-WT'!K5</f>
        <v>0</v>
      </c>
      <c r="K13" s="92"/>
      <c r="L13" s="97">
        <f t="shared" si="0"/>
        <v>40</v>
      </c>
      <c r="M13" s="68">
        <f t="shared" si="1"/>
        <v>0</v>
      </c>
      <c r="N13" s="69">
        <f t="shared" si="2"/>
        <v>0</v>
      </c>
    </row>
    <row r="14" spans="1:14" x14ac:dyDescent="0.25">
      <c r="A14" s="552" t="s">
        <v>320</v>
      </c>
      <c r="B14" s="553"/>
      <c r="C14" s="554"/>
      <c r="D14" s="95">
        <v>30</v>
      </c>
      <c r="E14" s="86"/>
      <c r="F14" s="87"/>
      <c r="G14" s="84">
        <v>5</v>
      </c>
      <c r="H14" s="83">
        <v>1</v>
      </c>
      <c r="I14" s="84">
        <v>20</v>
      </c>
      <c r="J14" s="2">
        <f>'C1-WT'!K5</f>
        <v>0</v>
      </c>
      <c r="K14" s="92"/>
      <c r="L14" s="97">
        <f t="shared" si="0"/>
        <v>50</v>
      </c>
      <c r="M14" s="68">
        <f t="shared" si="1"/>
        <v>0</v>
      </c>
      <c r="N14" s="69">
        <f t="shared" si="2"/>
        <v>0</v>
      </c>
    </row>
    <row r="15" spans="1:14" x14ac:dyDescent="0.25">
      <c r="A15" s="546" t="s">
        <v>304</v>
      </c>
      <c r="B15" s="547"/>
      <c r="C15" s="548"/>
      <c r="D15" s="95">
        <v>30</v>
      </c>
      <c r="E15" s="86"/>
      <c r="F15" s="87"/>
      <c r="G15" s="84">
        <v>4</v>
      </c>
      <c r="H15" s="84">
        <v>1</v>
      </c>
      <c r="I15" s="84">
        <v>15</v>
      </c>
      <c r="J15" s="2">
        <f>'C1-WT'!K5</f>
        <v>0</v>
      </c>
      <c r="K15" s="92">
        <v>5</v>
      </c>
      <c r="L15" s="97">
        <f t="shared" si="0"/>
        <v>50</v>
      </c>
      <c r="M15" s="68">
        <f t="shared" si="1"/>
        <v>0</v>
      </c>
      <c r="N15" s="69">
        <f t="shared" si="2"/>
        <v>0</v>
      </c>
    </row>
    <row r="16" spans="1:14" ht="15.75" thickBot="1" x14ac:dyDescent="0.3">
      <c r="A16" s="558" t="s">
        <v>406</v>
      </c>
      <c r="B16" s="559"/>
      <c r="C16" s="560"/>
      <c r="D16" s="96">
        <v>25</v>
      </c>
      <c r="E16" s="88"/>
      <c r="F16" s="89"/>
      <c r="G16" s="90">
        <v>5</v>
      </c>
      <c r="H16" s="90">
        <v>1</v>
      </c>
      <c r="I16" s="90">
        <v>20</v>
      </c>
      <c r="J16" s="33">
        <f>'C1-WT'!K5</f>
        <v>0</v>
      </c>
      <c r="K16" s="93"/>
      <c r="L16" s="98">
        <f t="shared" si="0"/>
        <v>45</v>
      </c>
      <c r="M16" s="117">
        <f t="shared" si="1"/>
        <v>0</v>
      </c>
      <c r="N16" s="118">
        <f t="shared" si="2"/>
        <v>0</v>
      </c>
    </row>
    <row r="17" spans="1:14" x14ac:dyDescent="0.25">
      <c r="A17" s="549" t="s">
        <v>311</v>
      </c>
      <c r="B17" s="550"/>
      <c r="C17" s="551"/>
      <c r="D17" s="119">
        <v>40</v>
      </c>
      <c r="E17" s="109"/>
      <c r="F17" s="110"/>
      <c r="G17" s="111">
        <v>5</v>
      </c>
      <c r="H17" s="111">
        <v>1</v>
      </c>
      <c r="I17" s="111">
        <v>10</v>
      </c>
      <c r="J17" s="112">
        <f>'C1-WT'!K5</f>
        <v>0</v>
      </c>
      <c r="K17" s="113"/>
      <c r="L17" s="114">
        <f t="shared" si="0"/>
        <v>50</v>
      </c>
      <c r="M17" s="115">
        <f t="shared" si="1"/>
        <v>0</v>
      </c>
      <c r="N17" s="116">
        <f t="shared" si="2"/>
        <v>0</v>
      </c>
    </row>
    <row r="18" spans="1:14" x14ac:dyDescent="0.25">
      <c r="A18" s="546" t="s">
        <v>312</v>
      </c>
      <c r="B18" s="547"/>
      <c r="C18" s="548"/>
      <c r="D18" s="95">
        <v>30</v>
      </c>
      <c r="E18" s="86"/>
      <c r="F18" s="87"/>
      <c r="G18" s="84">
        <v>5</v>
      </c>
      <c r="H18" s="83">
        <v>1</v>
      </c>
      <c r="I18" s="84">
        <v>15</v>
      </c>
      <c r="J18" s="2">
        <f>'C1-WT'!K5</f>
        <v>0</v>
      </c>
      <c r="K18" s="92"/>
      <c r="L18" s="97">
        <f t="shared" si="0"/>
        <v>45</v>
      </c>
      <c r="M18" s="68">
        <f t="shared" si="1"/>
        <v>0</v>
      </c>
      <c r="N18" s="69">
        <f t="shared" si="2"/>
        <v>0</v>
      </c>
    </row>
    <row r="19" spans="1:14" x14ac:dyDescent="0.25">
      <c r="A19" s="546" t="s">
        <v>365</v>
      </c>
      <c r="B19" s="547"/>
      <c r="C19" s="548"/>
      <c r="D19" s="95"/>
      <c r="E19" s="86"/>
      <c r="F19" s="87"/>
      <c r="G19" s="84"/>
      <c r="H19" s="84">
        <v>1</v>
      </c>
      <c r="I19" s="84"/>
      <c r="J19" s="2">
        <f>'C1-WT'!K5</f>
        <v>0</v>
      </c>
      <c r="K19" s="92"/>
      <c r="L19" s="97">
        <f t="shared" si="0"/>
        <v>0</v>
      </c>
      <c r="M19" s="68">
        <f t="shared" si="1"/>
        <v>0</v>
      </c>
      <c r="N19" s="69">
        <f t="shared" si="2"/>
        <v>0</v>
      </c>
    </row>
    <row r="20" spans="1:14" x14ac:dyDescent="0.25">
      <c r="A20" s="552" t="s">
        <v>366</v>
      </c>
      <c r="B20" s="553"/>
      <c r="C20" s="554"/>
      <c r="D20" s="95"/>
      <c r="E20" s="86"/>
      <c r="F20" s="87"/>
      <c r="G20" s="84"/>
      <c r="H20" s="84">
        <v>1</v>
      </c>
      <c r="I20" s="84"/>
      <c r="J20" s="2">
        <f>'C1-WT'!K5</f>
        <v>0</v>
      </c>
      <c r="K20" s="92"/>
      <c r="L20" s="97">
        <f t="shared" si="0"/>
        <v>0</v>
      </c>
      <c r="M20" s="68">
        <f t="shared" si="1"/>
        <v>0</v>
      </c>
      <c r="N20" s="69">
        <f t="shared" si="2"/>
        <v>0</v>
      </c>
    </row>
    <row r="21" spans="1:14" x14ac:dyDescent="0.25">
      <c r="A21" s="546" t="s">
        <v>390</v>
      </c>
      <c r="B21" s="547"/>
      <c r="C21" s="548"/>
      <c r="D21" s="95">
        <v>30</v>
      </c>
      <c r="E21" s="86"/>
      <c r="F21" s="87"/>
      <c r="G21" s="84">
        <v>5</v>
      </c>
      <c r="H21" s="83">
        <v>1</v>
      </c>
      <c r="I21" s="84">
        <v>15</v>
      </c>
      <c r="J21" s="2">
        <f>'C1-WT'!K5</f>
        <v>0</v>
      </c>
      <c r="K21" s="92"/>
      <c r="L21" s="97">
        <f t="shared" si="0"/>
        <v>45</v>
      </c>
      <c r="M21" s="68">
        <f t="shared" si="1"/>
        <v>0</v>
      </c>
      <c r="N21" s="69">
        <f t="shared" si="2"/>
        <v>0</v>
      </c>
    </row>
    <row r="22" spans="1:14" x14ac:dyDescent="0.25">
      <c r="A22" s="546" t="s">
        <v>392</v>
      </c>
      <c r="B22" s="547"/>
      <c r="C22" s="548"/>
      <c r="D22" s="94">
        <v>30</v>
      </c>
      <c r="E22" s="86"/>
      <c r="F22" s="87"/>
      <c r="G22" s="84">
        <v>5</v>
      </c>
      <c r="H22" s="84">
        <v>1</v>
      </c>
      <c r="I22" s="84">
        <v>15</v>
      </c>
      <c r="J22" s="2">
        <f>'C1-WT'!K5</f>
        <v>0</v>
      </c>
      <c r="K22" s="92"/>
      <c r="L22" s="97">
        <f t="shared" si="0"/>
        <v>45</v>
      </c>
      <c r="M22" s="68">
        <f t="shared" si="1"/>
        <v>0</v>
      </c>
      <c r="N22" s="69">
        <f t="shared" si="2"/>
        <v>0</v>
      </c>
    </row>
    <row r="23" spans="1:14" x14ac:dyDescent="0.25">
      <c r="A23" s="546" t="s">
        <v>382</v>
      </c>
      <c r="B23" s="547"/>
      <c r="C23" s="548"/>
      <c r="D23" s="94">
        <v>25</v>
      </c>
      <c r="E23" s="86">
        <v>30</v>
      </c>
      <c r="F23" s="87"/>
      <c r="G23" s="84">
        <v>5</v>
      </c>
      <c r="H23" s="84">
        <v>1</v>
      </c>
      <c r="I23" s="84">
        <v>5</v>
      </c>
      <c r="J23" s="2">
        <f>'C1-WT'!K5</f>
        <v>0</v>
      </c>
      <c r="K23" s="92">
        <v>10</v>
      </c>
      <c r="L23" s="97">
        <f t="shared" si="0"/>
        <v>40</v>
      </c>
      <c r="M23" s="68">
        <f t="shared" si="1"/>
        <v>45</v>
      </c>
      <c r="N23" s="69">
        <f t="shared" si="2"/>
        <v>0</v>
      </c>
    </row>
    <row r="24" spans="1:14" x14ac:dyDescent="0.25">
      <c r="A24" s="552" t="s">
        <v>391</v>
      </c>
      <c r="B24" s="553"/>
      <c r="C24" s="554"/>
      <c r="D24" s="95">
        <v>30</v>
      </c>
      <c r="E24" s="86">
        <v>20</v>
      </c>
      <c r="F24" s="87"/>
      <c r="G24" s="84">
        <v>5</v>
      </c>
      <c r="H24" s="84">
        <v>1</v>
      </c>
      <c r="I24" s="84">
        <v>5</v>
      </c>
      <c r="J24" s="2">
        <f>'C1-WT'!K5</f>
        <v>0</v>
      </c>
      <c r="K24" s="92"/>
      <c r="L24" s="97">
        <f t="shared" si="0"/>
        <v>35</v>
      </c>
      <c r="M24" s="68">
        <f t="shared" si="1"/>
        <v>25</v>
      </c>
      <c r="N24" s="69">
        <f t="shared" si="2"/>
        <v>0</v>
      </c>
    </row>
    <row r="25" spans="1:14" x14ac:dyDescent="0.25">
      <c r="A25" s="546" t="s">
        <v>375</v>
      </c>
      <c r="B25" s="547"/>
      <c r="C25" s="548"/>
      <c r="D25" s="95">
        <v>35</v>
      </c>
      <c r="E25" s="86"/>
      <c r="F25" s="87"/>
      <c r="G25" s="84">
        <v>5</v>
      </c>
      <c r="H25" s="84">
        <v>1</v>
      </c>
      <c r="I25" s="84">
        <v>10</v>
      </c>
      <c r="J25" s="2">
        <f>'C1-WT'!K5</f>
        <v>0</v>
      </c>
      <c r="K25" s="92">
        <v>5</v>
      </c>
      <c r="L25" s="97">
        <f t="shared" si="0"/>
        <v>50</v>
      </c>
      <c r="M25" s="68">
        <f t="shared" si="1"/>
        <v>0</v>
      </c>
      <c r="N25" s="69">
        <f t="shared" si="2"/>
        <v>0</v>
      </c>
    </row>
    <row r="26" spans="1:14" x14ac:dyDescent="0.25">
      <c r="A26" s="546" t="s">
        <v>350</v>
      </c>
      <c r="B26" s="547"/>
      <c r="C26" s="548"/>
      <c r="D26" s="95">
        <v>30</v>
      </c>
      <c r="E26" s="86"/>
      <c r="F26" s="87"/>
      <c r="G26" s="84">
        <v>5</v>
      </c>
      <c r="H26" s="84">
        <v>1</v>
      </c>
      <c r="I26" s="84">
        <v>10</v>
      </c>
      <c r="J26" s="2">
        <f>'C1-WT'!K5</f>
        <v>0</v>
      </c>
      <c r="K26" s="92"/>
      <c r="L26" s="97">
        <f t="shared" si="0"/>
        <v>40</v>
      </c>
      <c r="M26" s="68">
        <f t="shared" si="1"/>
        <v>0</v>
      </c>
      <c r="N26" s="69">
        <f t="shared" si="2"/>
        <v>0</v>
      </c>
    </row>
    <row r="27" spans="1:14" x14ac:dyDescent="0.25">
      <c r="A27" s="546" t="s">
        <v>397</v>
      </c>
      <c r="B27" s="547"/>
      <c r="C27" s="548"/>
      <c r="D27" s="94">
        <v>25</v>
      </c>
      <c r="E27" s="86"/>
      <c r="F27" s="87"/>
      <c r="G27" s="84">
        <v>5</v>
      </c>
      <c r="H27" s="83">
        <v>1</v>
      </c>
      <c r="I27" s="84"/>
      <c r="J27" s="2">
        <f>'C1-WT'!K5</f>
        <v>0</v>
      </c>
      <c r="K27" s="92"/>
      <c r="L27" s="97">
        <f t="shared" si="0"/>
        <v>25</v>
      </c>
      <c r="M27" s="68">
        <f t="shared" si="1"/>
        <v>0</v>
      </c>
      <c r="N27" s="69">
        <f t="shared" si="2"/>
        <v>0</v>
      </c>
    </row>
    <row r="28" spans="1:14" x14ac:dyDescent="0.25">
      <c r="A28" s="546" t="s">
        <v>319</v>
      </c>
      <c r="B28" s="547"/>
      <c r="C28" s="548"/>
      <c r="D28" s="95">
        <v>35</v>
      </c>
      <c r="E28" s="86"/>
      <c r="F28" s="87"/>
      <c r="G28" s="84">
        <v>5</v>
      </c>
      <c r="H28" s="84">
        <v>1</v>
      </c>
      <c r="I28" s="84"/>
      <c r="J28" s="2">
        <f>'C1-WT'!K5</f>
        <v>0</v>
      </c>
      <c r="K28" s="92"/>
      <c r="L28" s="97">
        <f t="shared" si="0"/>
        <v>35</v>
      </c>
      <c r="M28" s="68">
        <f t="shared" si="1"/>
        <v>0</v>
      </c>
      <c r="N28" s="69">
        <f t="shared" si="2"/>
        <v>0</v>
      </c>
    </row>
    <row r="29" spans="1:14" x14ac:dyDescent="0.25">
      <c r="A29" s="546" t="s">
        <v>315</v>
      </c>
      <c r="B29" s="547"/>
      <c r="C29" s="548"/>
      <c r="D29" s="95">
        <v>30</v>
      </c>
      <c r="E29" s="86"/>
      <c r="F29" s="87"/>
      <c r="G29" s="84">
        <v>5</v>
      </c>
      <c r="H29" s="84">
        <v>1</v>
      </c>
      <c r="I29" s="84"/>
      <c r="J29" s="2">
        <f>'C1-WT'!K5</f>
        <v>0</v>
      </c>
      <c r="K29" s="92">
        <v>5</v>
      </c>
      <c r="L29" s="97">
        <f t="shared" si="0"/>
        <v>35</v>
      </c>
      <c r="M29" s="68">
        <f t="shared" si="1"/>
        <v>0</v>
      </c>
      <c r="N29" s="69">
        <f t="shared" si="2"/>
        <v>0</v>
      </c>
    </row>
    <row r="30" spans="1:14" x14ac:dyDescent="0.25">
      <c r="A30" s="546" t="s">
        <v>398</v>
      </c>
      <c r="B30" s="547"/>
      <c r="C30" s="548"/>
      <c r="D30" s="95">
        <v>30</v>
      </c>
      <c r="E30" s="86"/>
      <c r="F30" s="87"/>
      <c r="G30" s="84">
        <v>5</v>
      </c>
      <c r="H30" s="83">
        <v>1</v>
      </c>
      <c r="I30" s="84"/>
      <c r="J30" s="2">
        <f>'C1-WT'!K5</f>
        <v>0</v>
      </c>
      <c r="K30" s="92">
        <v>10</v>
      </c>
      <c r="L30" s="97">
        <f t="shared" si="0"/>
        <v>40</v>
      </c>
      <c r="M30" s="68">
        <f t="shared" si="1"/>
        <v>0</v>
      </c>
      <c r="N30" s="69">
        <f t="shared" si="2"/>
        <v>0</v>
      </c>
    </row>
    <row r="31" spans="1:14" ht="15.75" thickBot="1" x14ac:dyDescent="0.3">
      <c r="A31" s="558" t="s">
        <v>400</v>
      </c>
      <c r="B31" s="559"/>
      <c r="C31" s="560"/>
      <c r="D31" s="96">
        <v>30</v>
      </c>
      <c r="E31" s="88"/>
      <c r="F31" s="89"/>
      <c r="G31" s="90">
        <v>5</v>
      </c>
      <c r="H31" s="90">
        <v>2</v>
      </c>
      <c r="I31" s="90"/>
      <c r="J31" s="33">
        <f>'C1-WT'!K5</f>
        <v>0</v>
      </c>
      <c r="K31" s="93">
        <f>IF(calc_lev&gt;4, 10, 0)</f>
        <v>0</v>
      </c>
      <c r="L31" s="98">
        <f t="shared" si="0"/>
        <v>25</v>
      </c>
      <c r="M31" s="117">
        <f t="shared" si="1"/>
        <v>0</v>
      </c>
      <c r="N31" s="118">
        <f t="shared" si="2"/>
        <v>0</v>
      </c>
    </row>
    <row r="32" spans="1:14" x14ac:dyDescent="0.25">
      <c r="A32" s="549" t="s">
        <v>348</v>
      </c>
      <c r="B32" s="550"/>
      <c r="C32" s="551"/>
      <c r="D32" s="119"/>
      <c r="E32" s="109"/>
      <c r="F32" s="110"/>
      <c r="G32" s="111"/>
      <c r="H32" s="111">
        <v>2</v>
      </c>
      <c r="I32" s="111"/>
      <c r="J32" s="112">
        <f>'C1-WT'!K5</f>
        <v>0</v>
      </c>
      <c r="K32" s="113"/>
      <c r="L32" s="114">
        <f t="shared" si="0"/>
        <v>0</v>
      </c>
      <c r="M32" s="115">
        <f t="shared" si="1"/>
        <v>0</v>
      </c>
      <c r="N32" s="116">
        <f t="shared" si="2"/>
        <v>0</v>
      </c>
    </row>
    <row r="33" spans="1:14" x14ac:dyDescent="0.25">
      <c r="A33" s="555" t="s">
        <v>393</v>
      </c>
      <c r="B33" s="556"/>
      <c r="C33" s="557"/>
      <c r="D33" s="95">
        <v>30</v>
      </c>
      <c r="E33" s="86"/>
      <c r="F33" s="87"/>
      <c r="G33" s="84">
        <v>5</v>
      </c>
      <c r="H33" s="83">
        <v>4</v>
      </c>
      <c r="I33" s="84"/>
      <c r="J33" s="2">
        <f>'C1-WT'!K5</f>
        <v>0</v>
      </c>
      <c r="K33" s="92"/>
      <c r="L33" s="97">
        <f t="shared" si="0"/>
        <v>15</v>
      </c>
      <c r="M33" s="68">
        <f t="shared" si="1"/>
        <v>0</v>
      </c>
      <c r="N33" s="69">
        <f t="shared" si="2"/>
        <v>0</v>
      </c>
    </row>
    <row r="34" spans="1:14" x14ac:dyDescent="0.25">
      <c r="A34" s="571" t="s">
        <v>394</v>
      </c>
      <c r="B34" s="547"/>
      <c r="C34" s="548"/>
      <c r="D34" s="95">
        <v>35</v>
      </c>
      <c r="E34" s="86">
        <v>20</v>
      </c>
      <c r="F34" s="87"/>
      <c r="G34" s="84">
        <v>5</v>
      </c>
      <c r="H34" s="83">
        <v>4</v>
      </c>
      <c r="I34" s="84">
        <v>10</v>
      </c>
      <c r="J34" s="2">
        <f>'C1-WT'!K5</f>
        <v>0</v>
      </c>
      <c r="K34" s="92"/>
      <c r="L34" s="97">
        <f t="shared" si="0"/>
        <v>30</v>
      </c>
      <c r="M34" s="68">
        <f t="shared" si="1"/>
        <v>15</v>
      </c>
      <c r="N34" s="69">
        <f t="shared" si="2"/>
        <v>0</v>
      </c>
    </row>
    <row r="35" spans="1:14" x14ac:dyDescent="0.25">
      <c r="A35" s="546" t="s">
        <v>377</v>
      </c>
      <c r="B35" s="547"/>
      <c r="C35" s="548"/>
      <c r="D35" s="95">
        <v>30</v>
      </c>
      <c r="E35" s="86"/>
      <c r="F35" s="87"/>
      <c r="G35" s="84">
        <v>5</v>
      </c>
      <c r="H35" s="84">
        <v>5</v>
      </c>
      <c r="I35" s="84"/>
      <c r="J35" s="2">
        <f>'C1-WT'!K5</f>
        <v>0</v>
      </c>
      <c r="K35" s="92">
        <v>5</v>
      </c>
      <c r="L35" s="97">
        <f t="shared" si="0"/>
        <v>15</v>
      </c>
      <c r="M35" s="68">
        <f t="shared" si="1"/>
        <v>0</v>
      </c>
      <c r="N35" s="69">
        <f t="shared" si="2"/>
        <v>0</v>
      </c>
    </row>
    <row r="36" spans="1:14" x14ac:dyDescent="0.25">
      <c r="A36" s="568" t="s">
        <v>401</v>
      </c>
      <c r="B36" s="569"/>
      <c r="C36" s="570"/>
      <c r="D36" s="95"/>
      <c r="E36" s="86"/>
      <c r="F36" s="87"/>
      <c r="G36" s="84"/>
      <c r="H36" s="84">
        <v>5</v>
      </c>
      <c r="I36" s="84"/>
      <c r="J36" s="2">
        <f>'C1-WT'!K5</f>
        <v>0</v>
      </c>
      <c r="K36" s="92"/>
      <c r="L36" s="97">
        <f t="shared" si="0"/>
        <v>0</v>
      </c>
      <c r="M36" s="68">
        <f t="shared" si="1"/>
        <v>0</v>
      </c>
      <c r="N36" s="69">
        <f t="shared" si="2"/>
        <v>0</v>
      </c>
    </row>
    <row r="37" spans="1:14" x14ac:dyDescent="0.25">
      <c r="A37" s="567" t="s">
        <v>299</v>
      </c>
      <c r="B37" s="556"/>
      <c r="C37" s="557"/>
      <c r="D37" s="94">
        <v>30</v>
      </c>
      <c r="E37" s="86"/>
      <c r="F37" s="87"/>
      <c r="G37" s="84">
        <v>5</v>
      </c>
      <c r="H37" s="83">
        <v>7</v>
      </c>
      <c r="I37" s="84"/>
      <c r="J37" s="2">
        <f>'C1-WT'!K5</f>
        <v>0</v>
      </c>
      <c r="K37" s="92"/>
      <c r="L37" s="97">
        <f t="shared" si="0"/>
        <v>0</v>
      </c>
      <c r="M37" s="68">
        <f t="shared" si="1"/>
        <v>0</v>
      </c>
      <c r="N37" s="69">
        <f t="shared" si="2"/>
        <v>0</v>
      </c>
    </row>
    <row r="38" spans="1:14" x14ac:dyDescent="0.25">
      <c r="A38" s="567" t="s">
        <v>402</v>
      </c>
      <c r="B38" s="556"/>
      <c r="C38" s="557"/>
      <c r="D38" s="95">
        <v>20</v>
      </c>
      <c r="E38" s="86"/>
      <c r="F38" s="87"/>
      <c r="G38" s="84">
        <v>4</v>
      </c>
      <c r="H38" s="84">
        <v>7</v>
      </c>
      <c r="I38" s="84"/>
      <c r="J38" s="2">
        <f>'C1-WT'!K5</f>
        <v>0</v>
      </c>
      <c r="K38" s="92"/>
      <c r="L38" s="97">
        <f t="shared" si="0"/>
        <v>-4</v>
      </c>
      <c r="M38" s="68">
        <f t="shared" si="1"/>
        <v>0</v>
      </c>
      <c r="N38" s="69">
        <f t="shared" si="2"/>
        <v>0</v>
      </c>
    </row>
    <row r="39" spans="1:14" x14ac:dyDescent="0.25">
      <c r="A39" s="567" t="s">
        <v>395</v>
      </c>
      <c r="B39" s="556"/>
      <c r="C39" s="557"/>
      <c r="D39" s="95">
        <v>35</v>
      </c>
      <c r="E39" s="86"/>
      <c r="F39" s="87"/>
      <c r="G39" s="84">
        <v>5</v>
      </c>
      <c r="H39" s="84">
        <v>8</v>
      </c>
      <c r="I39" s="84">
        <v>5</v>
      </c>
      <c r="J39" s="2">
        <f>'C1-WT'!K5</f>
        <v>0</v>
      </c>
      <c r="K39" s="92"/>
      <c r="L39" s="97">
        <f t="shared" si="0"/>
        <v>5</v>
      </c>
      <c r="M39" s="68">
        <f t="shared" si="1"/>
        <v>0</v>
      </c>
      <c r="N39" s="69">
        <f t="shared" si="2"/>
        <v>0</v>
      </c>
    </row>
    <row r="40" spans="1:14" x14ac:dyDescent="0.25">
      <c r="A40" s="555" t="s">
        <v>396</v>
      </c>
      <c r="B40" s="556"/>
      <c r="C40" s="557"/>
      <c r="D40" s="95">
        <v>40</v>
      </c>
      <c r="E40" s="86">
        <v>20</v>
      </c>
      <c r="F40" s="87"/>
      <c r="G40" s="84">
        <v>5</v>
      </c>
      <c r="H40" s="83">
        <v>8</v>
      </c>
      <c r="I40" s="84">
        <v>10</v>
      </c>
      <c r="J40" s="2">
        <f>'C1-WT'!K5</f>
        <v>0</v>
      </c>
      <c r="K40" s="92"/>
      <c r="L40" s="97">
        <f t="shared" si="0"/>
        <v>15</v>
      </c>
      <c r="M40" s="68">
        <f t="shared" si="1"/>
        <v>-5</v>
      </c>
      <c r="N40" s="69">
        <f t="shared" si="2"/>
        <v>0</v>
      </c>
    </row>
    <row r="41" spans="1:14" x14ac:dyDescent="0.25">
      <c r="A41" s="555" t="s">
        <v>399</v>
      </c>
      <c r="B41" s="556"/>
      <c r="C41" s="557"/>
      <c r="D41" s="95">
        <v>25</v>
      </c>
      <c r="E41" s="86"/>
      <c r="F41" s="87"/>
      <c r="G41" s="84">
        <v>5</v>
      </c>
      <c r="H41" s="84">
        <v>10</v>
      </c>
      <c r="I41" s="84"/>
      <c r="J41" s="2">
        <f>'C1-WT'!K5</f>
        <v>0</v>
      </c>
      <c r="K41" s="92">
        <v>5</v>
      </c>
      <c r="L41" s="97">
        <f t="shared" si="0"/>
        <v>-15</v>
      </c>
      <c r="M41" s="68">
        <f t="shared" si="1"/>
        <v>0</v>
      </c>
      <c r="N41" s="69">
        <f t="shared" si="2"/>
        <v>0</v>
      </c>
    </row>
    <row r="42" spans="1:14" x14ac:dyDescent="0.25">
      <c r="A42" s="555" t="s">
        <v>374</v>
      </c>
      <c r="B42" s="556"/>
      <c r="C42" s="557"/>
      <c r="D42" s="94">
        <v>25</v>
      </c>
      <c r="E42" s="86"/>
      <c r="F42" s="87"/>
      <c r="G42" s="84">
        <v>5</v>
      </c>
      <c r="H42" s="84">
        <v>10</v>
      </c>
      <c r="I42" s="84"/>
      <c r="J42" s="2">
        <f>'C1-WT'!K5</f>
        <v>0</v>
      </c>
      <c r="K42" s="92">
        <v>5</v>
      </c>
      <c r="L42" s="97">
        <f t="shared" si="0"/>
        <v>-15</v>
      </c>
      <c r="M42" s="68">
        <f t="shared" si="1"/>
        <v>0</v>
      </c>
      <c r="N42" s="69">
        <f t="shared" si="2"/>
        <v>0</v>
      </c>
    </row>
    <row r="43" spans="1:14" x14ac:dyDescent="0.25">
      <c r="A43" s="546" t="s">
        <v>403</v>
      </c>
      <c r="B43" s="547"/>
      <c r="C43" s="548"/>
      <c r="D43" s="95">
        <v>25</v>
      </c>
      <c r="E43" s="86"/>
      <c r="F43" s="87"/>
      <c r="G43" s="84">
        <v>5</v>
      </c>
      <c r="H43" s="83">
        <v>12</v>
      </c>
      <c r="I43" s="84">
        <v>15</v>
      </c>
      <c r="J43" s="2">
        <f>'C1-WT'!K5</f>
        <v>0</v>
      </c>
      <c r="K43" s="92"/>
      <c r="L43" s="97">
        <f t="shared" si="0"/>
        <v>-15</v>
      </c>
      <c r="M43" s="68">
        <f t="shared" si="1"/>
        <v>0</v>
      </c>
      <c r="N43" s="69">
        <f t="shared" si="2"/>
        <v>0</v>
      </c>
    </row>
    <row r="44" spans="1:14" x14ac:dyDescent="0.25">
      <c r="A44" s="552" t="s">
        <v>404</v>
      </c>
      <c r="B44" s="553"/>
      <c r="C44" s="554"/>
      <c r="D44" s="95">
        <v>25</v>
      </c>
      <c r="E44" s="86"/>
      <c r="F44" s="87"/>
      <c r="G44" s="84">
        <v>5</v>
      </c>
      <c r="H44" s="84">
        <v>12</v>
      </c>
      <c r="I44" s="84">
        <v>10</v>
      </c>
      <c r="J44" s="2">
        <f>'C1-WT'!K5</f>
        <v>0</v>
      </c>
      <c r="K44" s="92"/>
      <c r="L44" s="97">
        <f t="shared" si="0"/>
        <v>-20</v>
      </c>
      <c r="M44" s="68">
        <f t="shared" si="1"/>
        <v>0</v>
      </c>
      <c r="N44" s="69">
        <f t="shared" si="2"/>
        <v>0</v>
      </c>
    </row>
    <row r="45" spans="1:14" x14ac:dyDescent="0.25">
      <c r="A45" s="546" t="s">
        <v>405</v>
      </c>
      <c r="B45" s="547"/>
      <c r="C45" s="548"/>
      <c r="D45" s="95">
        <v>40</v>
      </c>
      <c r="E45" s="86"/>
      <c r="F45" s="87"/>
      <c r="G45" s="84">
        <v>5</v>
      </c>
      <c r="H45" s="84">
        <v>13</v>
      </c>
      <c r="I45" s="84"/>
      <c r="J45" s="2">
        <f>'C1-WT'!K5</f>
        <v>0</v>
      </c>
      <c r="K45" s="92"/>
      <c r="L45" s="97">
        <f t="shared" si="0"/>
        <v>-20</v>
      </c>
      <c r="M45" s="68">
        <f t="shared" si="1"/>
        <v>0</v>
      </c>
      <c r="N45" s="69">
        <f t="shared" si="2"/>
        <v>0</v>
      </c>
    </row>
    <row r="46" spans="1:14" ht="15.75" thickBot="1" x14ac:dyDescent="0.3">
      <c r="A46" s="558" t="s">
        <v>309</v>
      </c>
      <c r="B46" s="559"/>
      <c r="C46" s="560"/>
      <c r="D46" s="96"/>
      <c r="E46" s="88"/>
      <c r="F46" s="89"/>
      <c r="G46" s="90"/>
      <c r="H46" s="91">
        <v>13</v>
      </c>
      <c r="I46" s="90"/>
      <c r="J46" s="33">
        <f>'C1-WT'!K5</f>
        <v>0</v>
      </c>
      <c r="K46" s="93"/>
      <c r="L46" s="98">
        <f t="shared" si="0"/>
        <v>0</v>
      </c>
      <c r="M46" s="117">
        <f t="shared" si="1"/>
        <v>0</v>
      </c>
      <c r="N46" s="118">
        <f t="shared" si="2"/>
        <v>0</v>
      </c>
    </row>
    <row r="48" spans="1:14" x14ac:dyDescent="0.25">
      <c r="A48" s="542" t="s">
        <v>279</v>
      </c>
      <c r="B48" s="542"/>
      <c r="C48" s="542"/>
      <c r="D48" s="542"/>
      <c r="E48" s="542"/>
      <c r="F48" s="542"/>
    </row>
    <row r="49" spans="1:6" x14ac:dyDescent="0.25">
      <c r="A49" s="540" t="s">
        <v>280</v>
      </c>
      <c r="B49" s="524"/>
      <c r="C49" s="223" t="s">
        <v>275</v>
      </c>
      <c r="D49" s="223" t="s">
        <v>276</v>
      </c>
      <c r="E49" s="223" t="s">
        <v>277</v>
      </c>
      <c r="F49" s="223" t="s">
        <v>278</v>
      </c>
    </row>
    <row r="50" spans="1:6" x14ac:dyDescent="0.25">
      <c r="A50" s="539" t="s">
        <v>179</v>
      </c>
      <c r="B50" s="539"/>
      <c r="C50" s="84"/>
      <c r="D50" s="84"/>
      <c r="E50" s="84"/>
      <c r="F50" s="84"/>
    </row>
    <row r="51" spans="1:6" x14ac:dyDescent="0.25">
      <c r="A51" s="539" t="s">
        <v>175</v>
      </c>
      <c r="B51" s="539"/>
      <c r="C51" s="84"/>
      <c r="D51" s="84"/>
      <c r="E51" s="84"/>
      <c r="F51" s="84"/>
    </row>
    <row r="52" spans="1:6" x14ac:dyDescent="0.25">
      <c r="A52" s="539" t="s">
        <v>176</v>
      </c>
      <c r="B52" s="539"/>
      <c r="C52" s="84" t="str">
        <f>hth_plus</f>
        <v>Hand to Hand Upgrade</v>
      </c>
      <c r="D52" s="84"/>
      <c r="E52" s="84"/>
      <c r="F52" s="84"/>
    </row>
    <row r="53" spans="1:6" x14ac:dyDescent="0.25">
      <c r="A53" s="539" t="s">
        <v>177</v>
      </c>
      <c r="B53" s="539"/>
      <c r="C53" s="84" t="str">
        <f>hth_plus</f>
        <v>Hand to Hand Upgrade</v>
      </c>
      <c r="D53" s="84" t="str">
        <f>hth_plus</f>
        <v>Hand to Hand Upgrade</v>
      </c>
      <c r="E53" s="84"/>
      <c r="F53" s="84"/>
    </row>
    <row r="54" spans="1:6" x14ac:dyDescent="0.25">
      <c r="A54" s="539" t="s">
        <v>178</v>
      </c>
      <c r="B54" s="539"/>
      <c r="C54" s="84" t="str">
        <f>hth_plus</f>
        <v>Hand to Hand Upgrade</v>
      </c>
      <c r="D54" s="84" t="str">
        <f>hth_plus</f>
        <v>Hand to Hand Upgrade</v>
      </c>
      <c r="E54" s="84"/>
      <c r="F54" s="84"/>
    </row>
    <row r="55" spans="1:6" x14ac:dyDescent="0.25">
      <c r="A55" s="1"/>
      <c r="B55" s="1"/>
      <c r="C55" s="1"/>
      <c r="D55" s="1"/>
      <c r="E55" s="1"/>
      <c r="F55" s="1"/>
    </row>
    <row r="56" spans="1:6" x14ac:dyDescent="0.25">
      <c r="A56" s="541" t="s">
        <v>274</v>
      </c>
      <c r="B56" s="541"/>
      <c r="C56" s="541"/>
      <c r="D56" s="541"/>
      <c r="E56" s="541"/>
      <c r="F56" s="541"/>
    </row>
    <row r="57" spans="1:6" x14ac:dyDescent="0.25">
      <c r="A57" s="1"/>
      <c r="B57" s="1"/>
      <c r="C57" s="1"/>
      <c r="D57" s="1"/>
      <c r="E57" s="1"/>
      <c r="F57" s="1"/>
    </row>
    <row r="58" spans="1:6" x14ac:dyDescent="0.25">
      <c r="A58" s="194" t="s">
        <v>306</v>
      </c>
      <c r="B58" s="1"/>
      <c r="C58" s="1"/>
      <c r="D58" s="1"/>
      <c r="E58" s="1"/>
      <c r="F58" s="1"/>
    </row>
  </sheetData>
  <sheetProtection algorithmName="SHA-512" hashValue="Y+vcgmRkCNXl4cEoGUKV5TDWEoWsf1UXHpuucf4/biyTc4RKDgZpA1SkWOPOAZ8+zSclk2L0YRSI+zZ82rg2vw==" saltValue="H7Du1way/ec9PQX9iREkng==" spinCount="100000" sheet="1" selectLockedCells="1"/>
  <mergeCells count="54">
    <mergeCell ref="A12:C12"/>
    <mergeCell ref="A1:C1"/>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36:C36"/>
    <mergeCell ref="A25:C25"/>
    <mergeCell ref="A26:C26"/>
    <mergeCell ref="A27:C27"/>
    <mergeCell ref="A28:C28"/>
    <mergeCell ref="A29:C29"/>
    <mergeCell ref="A30:C30"/>
    <mergeCell ref="A31:C31"/>
    <mergeCell ref="A32:C32"/>
    <mergeCell ref="A33:C33"/>
    <mergeCell ref="A34:C34"/>
    <mergeCell ref="A35:C35"/>
    <mergeCell ref="A43:C43"/>
    <mergeCell ref="A44:C44"/>
    <mergeCell ref="A45:C45"/>
    <mergeCell ref="A46:C46"/>
    <mergeCell ref="A37:C37"/>
    <mergeCell ref="A38:C38"/>
    <mergeCell ref="A39:C39"/>
    <mergeCell ref="A40:C40"/>
    <mergeCell ref="A41:C41"/>
    <mergeCell ref="A42:C42"/>
    <mergeCell ref="A53:B53"/>
    <mergeCell ref="A54:B54"/>
    <mergeCell ref="A56:F56"/>
    <mergeCell ref="A48:F48"/>
    <mergeCell ref="A49:B49"/>
    <mergeCell ref="A50:B50"/>
    <mergeCell ref="A51:B51"/>
    <mergeCell ref="A52:B5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T65"/>
  <sheetViews>
    <sheetView workbookViewId="0">
      <selection activeCell="K23" sqref="K23"/>
    </sheetView>
  </sheetViews>
  <sheetFormatPr defaultRowHeight="15" x14ac:dyDescent="0.25"/>
  <cols>
    <col min="2" max="7" width="7.140625" customWidth="1"/>
    <col min="8" max="8" width="7.7109375" customWidth="1"/>
    <col min="9" max="9" width="6.42578125" customWidth="1"/>
    <col min="10" max="10" width="12.85546875" customWidth="1"/>
    <col min="11" max="11" width="5.7109375" customWidth="1"/>
  </cols>
  <sheetData>
    <row r="1" spans="1:20" s="1" customFormat="1" ht="18.75" x14ac:dyDescent="0.3">
      <c r="A1" s="572" t="s">
        <v>329</v>
      </c>
      <c r="B1" s="573"/>
      <c r="C1" s="573"/>
      <c r="D1" s="573"/>
      <c r="E1" s="573"/>
      <c r="F1" s="573"/>
      <c r="G1" s="573"/>
      <c r="H1" s="573"/>
      <c r="I1" s="573"/>
      <c r="J1" s="573"/>
      <c r="K1" s="574"/>
    </row>
    <row r="2" spans="1:20" s="1" customFormat="1" ht="16.5" thickBot="1" x14ac:dyDescent="0.3">
      <c r="A2" s="575" t="str">
        <f>class_3&amp;" "&amp;"O.C.C."</f>
        <v>Blacksmith O.C.C.</v>
      </c>
      <c r="B2" s="576"/>
      <c r="C2" s="576"/>
      <c r="D2" s="576"/>
      <c r="E2" s="576"/>
      <c r="F2" s="576"/>
      <c r="G2" s="576"/>
      <c r="H2" s="576"/>
      <c r="I2" s="576"/>
      <c r="J2" s="576"/>
      <c r="K2" s="577"/>
    </row>
    <row r="3" spans="1:20" s="1" customFormat="1" ht="15.75" thickBot="1" x14ac:dyDescent="0.3">
      <c r="A3" s="231"/>
      <c r="B3" s="231"/>
      <c r="C3" s="231"/>
      <c r="D3" s="231"/>
      <c r="E3" s="231"/>
      <c r="F3" s="231"/>
      <c r="G3" s="231"/>
      <c r="H3" s="232"/>
      <c r="I3" s="232"/>
      <c r="J3" s="232"/>
      <c r="K3" s="232"/>
    </row>
    <row r="4" spans="1:20" ht="26.25" thickBot="1" x14ac:dyDescent="0.3">
      <c r="A4" s="125" t="s">
        <v>60</v>
      </c>
      <c r="B4" s="126" t="s">
        <v>61</v>
      </c>
      <c r="C4" s="126" t="s">
        <v>64</v>
      </c>
      <c r="D4" s="126" t="s">
        <v>62</v>
      </c>
      <c r="E4" s="126" t="s">
        <v>63</v>
      </c>
      <c r="F4" s="126" t="s">
        <v>65</v>
      </c>
      <c r="G4" s="77" t="s">
        <v>66</v>
      </c>
    </row>
    <row r="5" spans="1:20" x14ac:dyDescent="0.25">
      <c r="A5" s="46" t="s">
        <v>1</v>
      </c>
      <c r="B5" s="80">
        <v>10</v>
      </c>
      <c r="C5" s="80"/>
      <c r="D5" s="80"/>
      <c r="E5" s="80"/>
      <c r="F5" s="80"/>
      <c r="G5" s="47">
        <f>SUM(B5:F5)</f>
        <v>10</v>
      </c>
    </row>
    <row r="6" spans="1:20" x14ac:dyDescent="0.25">
      <c r="A6" s="39" t="s">
        <v>2</v>
      </c>
      <c r="B6" s="81">
        <v>10</v>
      </c>
      <c r="C6" s="81"/>
      <c r="D6" s="81"/>
      <c r="E6" s="81"/>
      <c r="F6" s="81"/>
      <c r="G6" s="37">
        <f>SUM(B6:F6)</f>
        <v>10</v>
      </c>
    </row>
    <row r="7" spans="1:20" x14ac:dyDescent="0.25">
      <c r="A7" s="39" t="s">
        <v>3</v>
      </c>
      <c r="B7" s="81">
        <v>10</v>
      </c>
      <c r="C7" s="81"/>
      <c r="D7" s="81"/>
      <c r="E7" s="81"/>
      <c r="F7" s="81"/>
      <c r="G7" s="37">
        <f t="shared" ref="G7:G12" si="0">SUM(B7:F7)</f>
        <v>10</v>
      </c>
    </row>
    <row r="8" spans="1:20" x14ac:dyDescent="0.25">
      <c r="A8" s="39" t="s">
        <v>4</v>
      </c>
      <c r="B8" s="81">
        <v>14</v>
      </c>
      <c r="C8" s="81">
        <v>6</v>
      </c>
      <c r="D8" s="81">
        <v>1</v>
      </c>
      <c r="E8" s="81">
        <f>1+2</f>
        <v>3</v>
      </c>
      <c r="F8" s="81"/>
      <c r="G8" s="37">
        <f t="shared" si="0"/>
        <v>24</v>
      </c>
    </row>
    <row r="9" spans="1:20" x14ac:dyDescent="0.25">
      <c r="A9" s="39" t="s">
        <v>5</v>
      </c>
      <c r="B9" s="81">
        <v>10</v>
      </c>
      <c r="C9" s="81"/>
      <c r="D9" s="81"/>
      <c r="E9" s="81"/>
      <c r="F9" s="81"/>
      <c r="G9" s="37">
        <f t="shared" si="0"/>
        <v>10</v>
      </c>
    </row>
    <row r="10" spans="1:20" x14ac:dyDescent="0.25">
      <c r="A10" s="39" t="s">
        <v>6</v>
      </c>
      <c r="B10" s="81">
        <v>14</v>
      </c>
      <c r="C10" s="81"/>
      <c r="D10" s="81">
        <v>1</v>
      </c>
      <c r="E10" s="81"/>
      <c r="F10" s="81"/>
      <c r="G10" s="37">
        <f t="shared" si="0"/>
        <v>15</v>
      </c>
    </row>
    <row r="11" spans="1:20" x14ac:dyDescent="0.25">
      <c r="A11" s="39" t="s">
        <v>7</v>
      </c>
      <c r="B11" s="81">
        <v>9</v>
      </c>
      <c r="C11" s="81"/>
      <c r="D11" s="81"/>
      <c r="E11" s="81"/>
      <c r="F11" s="81"/>
      <c r="G11" s="37">
        <f t="shared" si="0"/>
        <v>9</v>
      </c>
    </row>
    <row r="12" spans="1:20" ht="15.75" thickBot="1" x14ac:dyDescent="0.3">
      <c r="A12" s="45" t="s">
        <v>8</v>
      </c>
      <c r="B12" s="82">
        <v>7</v>
      </c>
      <c r="C12" s="82"/>
      <c r="D12" s="82"/>
      <c r="E12" s="82">
        <v>3</v>
      </c>
      <c r="F12" s="82"/>
      <c r="G12" s="49">
        <f t="shared" si="0"/>
        <v>10</v>
      </c>
      <c r="J12" s="522" t="s">
        <v>330</v>
      </c>
      <c r="K12" s="522"/>
      <c r="L12" s="522"/>
      <c r="M12" s="522"/>
      <c r="N12" s="522"/>
      <c r="O12" s="522"/>
      <c r="P12" s="522"/>
      <c r="Q12" s="522"/>
      <c r="R12" s="522"/>
      <c r="S12" s="522"/>
      <c r="T12" s="522"/>
    </row>
    <row r="13" spans="1:20" ht="15.75" thickBot="1" x14ac:dyDescent="0.3">
      <c r="A13" s="3"/>
      <c r="B13" s="3"/>
      <c r="C13" s="3"/>
      <c r="D13" s="3"/>
      <c r="E13" s="3"/>
      <c r="F13" s="3"/>
      <c r="G13" s="3"/>
      <c r="H13" s="3"/>
      <c r="I13" s="3"/>
      <c r="J13" s="3"/>
      <c r="K13" s="3"/>
    </row>
    <row r="14" spans="1:20" ht="26.25" thickBot="1" x14ac:dyDescent="0.3">
      <c r="A14" s="492" t="s">
        <v>93</v>
      </c>
      <c r="B14" s="493"/>
      <c r="C14" s="120" t="s">
        <v>87</v>
      </c>
      <c r="D14" s="120" t="s">
        <v>88</v>
      </c>
      <c r="E14" s="120" t="s">
        <v>64</v>
      </c>
      <c r="F14" s="120" t="s">
        <v>89</v>
      </c>
      <c r="G14" s="120" t="s">
        <v>63</v>
      </c>
      <c r="H14" s="77" t="s">
        <v>90</v>
      </c>
      <c r="I14" s="3"/>
      <c r="J14" s="534" t="s">
        <v>55</v>
      </c>
      <c r="K14" s="535"/>
      <c r="L14" s="536"/>
      <c r="M14" s="1"/>
      <c r="N14" s="531" t="s">
        <v>80</v>
      </c>
      <c r="O14" s="532"/>
      <c r="P14" s="533"/>
      <c r="Q14" s="1"/>
      <c r="R14" s="531" t="s">
        <v>144</v>
      </c>
      <c r="S14" s="532"/>
      <c r="T14" s="533"/>
    </row>
    <row r="15" spans="1:20" x14ac:dyDescent="0.25">
      <c r="A15" s="378" t="s">
        <v>86</v>
      </c>
      <c r="B15" s="315"/>
      <c r="C15" s="50"/>
      <c r="D15" s="80"/>
      <c r="E15" s="80"/>
      <c r="F15" s="219">
        <f>_xlfn.IFNA(VLOOKUP(hth_occ3&amp;" "&amp;calc_lev, hth_bonus, 2, FALSE), "")</f>
        <v>4</v>
      </c>
      <c r="G15" s="80"/>
      <c r="H15" s="47">
        <f>SUM(C15:G15)</f>
        <v>4</v>
      </c>
      <c r="I15" s="3"/>
      <c r="J15" s="158" t="s">
        <v>87</v>
      </c>
      <c r="K15" s="156">
        <f>total_pe</f>
        <v>14</v>
      </c>
      <c r="L15" s="537"/>
      <c r="M15" s="1"/>
      <c r="N15" s="166" t="s">
        <v>246</v>
      </c>
      <c r="O15" s="84"/>
      <c r="P15" s="477"/>
      <c r="Q15" s="1"/>
      <c r="R15" s="166" t="s">
        <v>246</v>
      </c>
      <c r="S15" s="84">
        <v>7</v>
      </c>
      <c r="T15" s="477"/>
    </row>
    <row r="16" spans="1:20" x14ac:dyDescent="0.25">
      <c r="A16" s="389" t="s">
        <v>53</v>
      </c>
      <c r="B16" s="341"/>
      <c r="C16" s="44">
        <f>IF(total_pp&gt;45, 6, IF(total_pp&gt;30, ROUNDUP((total_pp-30)/3,0), 0))</f>
        <v>0</v>
      </c>
      <c r="D16" s="81"/>
      <c r="E16" s="81"/>
      <c r="F16" s="219">
        <f>_xlfn.IFNA(VLOOKUP(hth_occ3&amp;" "&amp;calc_lev, hth_bonus, 3, FALSE), "")</f>
        <v>0</v>
      </c>
      <c r="G16" s="81"/>
      <c r="H16" s="37">
        <f>SUM(C16:G16)</f>
        <v>0</v>
      </c>
      <c r="I16" s="3"/>
      <c r="J16" s="158" t="s">
        <v>128</v>
      </c>
      <c r="K16" s="157"/>
      <c r="L16" s="538"/>
      <c r="M16" s="1"/>
      <c r="N16" s="166" t="s">
        <v>156</v>
      </c>
      <c r="O16" s="84"/>
      <c r="P16" s="478"/>
      <c r="Q16" s="1"/>
      <c r="R16" s="166" t="s">
        <v>156</v>
      </c>
      <c r="S16" s="84">
        <f>total_me</f>
        <v>10</v>
      </c>
      <c r="T16" s="478"/>
    </row>
    <row r="17" spans="1:20" x14ac:dyDescent="0.25">
      <c r="A17" s="389" t="s">
        <v>49</v>
      </c>
      <c r="B17" s="341"/>
      <c r="C17" s="21">
        <f>pp_strike</f>
        <v>0</v>
      </c>
      <c r="D17" s="81"/>
      <c r="E17" s="81"/>
      <c r="F17" s="219">
        <f>_xlfn.IFNA(VLOOKUP(hth_occ3&amp;" "&amp;calc_lev, hth_bonus, 4, FALSE), "")</f>
        <v>0</v>
      </c>
      <c r="G17" s="81"/>
      <c r="H17" s="37">
        <f t="shared" ref="H17:H21" si="1">SUM(C17:G17)</f>
        <v>0</v>
      </c>
      <c r="I17" s="3"/>
      <c r="J17" s="59">
        <v>1</v>
      </c>
      <c r="K17" s="224">
        <v>3</v>
      </c>
      <c r="L17" s="191">
        <f>SUM(K15:K17)</f>
        <v>17</v>
      </c>
      <c r="M17" s="1"/>
      <c r="N17" s="166" t="s">
        <v>15</v>
      </c>
      <c r="O17" s="84"/>
      <c r="P17" s="478"/>
      <c r="Q17" s="1"/>
      <c r="R17" s="166" t="s">
        <v>15</v>
      </c>
      <c r="S17" s="84"/>
      <c r="T17" s="478"/>
    </row>
    <row r="18" spans="1:20" x14ac:dyDescent="0.25">
      <c r="A18" s="389" t="s">
        <v>50</v>
      </c>
      <c r="B18" s="341"/>
      <c r="C18" s="21">
        <f>pp_strike</f>
        <v>0</v>
      </c>
      <c r="D18" s="81"/>
      <c r="E18" s="81"/>
      <c r="F18" s="219">
        <f>_xlfn.IFNA(VLOOKUP(hth_occ3&amp;" "&amp;calc_lev, hth_bonus, 5, FALSE), "")</f>
        <v>0</v>
      </c>
      <c r="G18" s="81"/>
      <c r="H18" s="37">
        <f t="shared" si="1"/>
        <v>0</v>
      </c>
      <c r="I18" s="3"/>
      <c r="J18" s="158">
        <v>2</v>
      </c>
      <c r="K18" s="224">
        <v>3</v>
      </c>
      <c r="L18" s="191">
        <f>SUM(K15:K18)</f>
        <v>20</v>
      </c>
      <c r="M18" s="1"/>
      <c r="N18" s="166" t="s">
        <v>47</v>
      </c>
      <c r="O18" s="84"/>
      <c r="P18" s="479"/>
      <c r="Q18" s="1"/>
      <c r="R18" s="166" t="s">
        <v>47</v>
      </c>
      <c r="S18" s="84"/>
      <c r="T18" s="479"/>
    </row>
    <row r="19" spans="1:20" x14ac:dyDescent="0.25">
      <c r="A19" s="389" t="s">
        <v>54</v>
      </c>
      <c r="B19" s="341"/>
      <c r="C19" s="21">
        <f>pp_strike</f>
        <v>0</v>
      </c>
      <c r="D19" s="81"/>
      <c r="E19" s="81"/>
      <c r="F19" s="219">
        <f>_xlfn.IFNA(VLOOKUP(hth_occ3&amp;" "&amp;calc_lev, hth_bonus, 6, FALSE), "")</f>
        <v>0</v>
      </c>
      <c r="G19" s="81"/>
      <c r="H19" s="37">
        <f t="shared" si="1"/>
        <v>0</v>
      </c>
      <c r="I19" s="3"/>
      <c r="J19" s="158">
        <v>3</v>
      </c>
      <c r="K19" s="224">
        <v>3</v>
      </c>
      <c r="L19" s="191">
        <f>SUM(K15:K19)</f>
        <v>23</v>
      </c>
      <c r="M19" s="1"/>
      <c r="N19" s="167">
        <v>1</v>
      </c>
      <c r="O19" s="84">
        <f t="shared" ref="O19:O33" si="2">IF(ability_type=at_5, 3, 0)</f>
        <v>0</v>
      </c>
      <c r="P19" s="32">
        <f>SUM(O15:O19)</f>
        <v>0</v>
      </c>
      <c r="Q19" s="1"/>
      <c r="R19" s="167">
        <v>1</v>
      </c>
      <c r="S19" s="84">
        <v>3</v>
      </c>
      <c r="T19" s="32">
        <f>SUM(S15:S19)</f>
        <v>20</v>
      </c>
    </row>
    <row r="20" spans="1:20" x14ac:dyDescent="0.25">
      <c r="A20" s="389" t="s">
        <v>85</v>
      </c>
      <c r="B20" s="341"/>
      <c r="C20" s="22"/>
      <c r="D20" s="81"/>
      <c r="E20" s="81"/>
      <c r="F20" s="219">
        <f>_xlfn.IFNA(VLOOKUP(hth_occ3&amp;" "&amp;calc_lev, hth_bonus, 7, FALSE), "")</f>
        <v>2</v>
      </c>
      <c r="G20" s="81">
        <v>1</v>
      </c>
      <c r="H20" s="37">
        <f t="shared" si="1"/>
        <v>3</v>
      </c>
      <c r="I20" s="3"/>
      <c r="J20" s="158">
        <v>4</v>
      </c>
      <c r="K20" s="224">
        <v>3</v>
      </c>
      <c r="L20" s="191">
        <f>SUM(K15:K20)</f>
        <v>26</v>
      </c>
      <c r="M20" s="1"/>
      <c r="N20" s="167">
        <v>2</v>
      </c>
      <c r="O20" s="84">
        <f t="shared" si="2"/>
        <v>0</v>
      </c>
      <c r="P20" s="32">
        <f>SUM(O15:O20)</f>
        <v>0</v>
      </c>
      <c r="Q20" s="1"/>
      <c r="R20" s="167">
        <v>2</v>
      </c>
      <c r="S20" s="84">
        <v>3</v>
      </c>
      <c r="T20" s="32">
        <f>SUM(S15:S20)</f>
        <v>23</v>
      </c>
    </row>
    <row r="21" spans="1:20" x14ac:dyDescent="0.25">
      <c r="A21" s="389" t="s">
        <v>58</v>
      </c>
      <c r="B21" s="341"/>
      <c r="C21" s="22"/>
      <c r="D21" s="81"/>
      <c r="E21" s="81"/>
      <c r="F21" s="219">
        <f>_xlfn.IFNA(VLOOKUP(hth_occ3&amp;" "&amp;calc_lev, hth_bonus, 8, FALSE), "")</f>
        <v>2</v>
      </c>
      <c r="G21" s="81"/>
      <c r="H21" s="37">
        <f t="shared" si="1"/>
        <v>2</v>
      </c>
      <c r="I21" s="3"/>
      <c r="J21" s="158">
        <v>5</v>
      </c>
      <c r="K21" s="224">
        <v>3</v>
      </c>
      <c r="L21" s="191">
        <f>SUM(K15:K21)</f>
        <v>29</v>
      </c>
      <c r="M21" s="1"/>
      <c r="N21" s="167">
        <v>3</v>
      </c>
      <c r="O21" s="84">
        <f t="shared" si="2"/>
        <v>0</v>
      </c>
      <c r="P21" s="32">
        <f>SUM(O15:O21)</f>
        <v>0</v>
      </c>
      <c r="Q21" s="1"/>
      <c r="R21" s="167">
        <v>3</v>
      </c>
      <c r="S21" s="84">
        <v>3</v>
      </c>
      <c r="T21" s="32">
        <f>SUM(S15:S21)</f>
        <v>26</v>
      </c>
    </row>
    <row r="22" spans="1:20" ht="15" customHeight="1" x14ac:dyDescent="0.25">
      <c r="A22" s="389" t="s">
        <v>79</v>
      </c>
      <c r="B22" s="341"/>
      <c r="C22" s="21">
        <f>ps_dam</f>
        <v>10</v>
      </c>
      <c r="D22" s="81"/>
      <c r="E22" s="81"/>
      <c r="F22" s="219">
        <f>_xlfn.IFNA(VLOOKUP(hth_occ3&amp;" "&amp;calc_lev, hth_bonus, 9, FALSE), "")</f>
        <v>0</v>
      </c>
      <c r="G22" s="81"/>
      <c r="H22" s="37">
        <f>SUM(C22:G22)</f>
        <v>10</v>
      </c>
      <c r="I22" s="3"/>
      <c r="J22" s="59">
        <v>6</v>
      </c>
      <c r="K22" s="224">
        <v>3</v>
      </c>
      <c r="L22" s="191">
        <f>SUM(K15:K22)</f>
        <v>32</v>
      </c>
      <c r="M22" s="1"/>
      <c r="N22" s="167">
        <v>4</v>
      </c>
      <c r="O22" s="84">
        <f t="shared" si="2"/>
        <v>0</v>
      </c>
      <c r="P22" s="32">
        <f>SUM(O15:O22)</f>
        <v>0</v>
      </c>
      <c r="Q22" s="1"/>
      <c r="R22" s="167">
        <v>4</v>
      </c>
      <c r="S22" s="84">
        <v>3</v>
      </c>
      <c r="T22" s="32">
        <f>SUM(S15:S22)</f>
        <v>29</v>
      </c>
    </row>
    <row r="23" spans="1:20" ht="15.75" thickBot="1" x14ac:dyDescent="0.3">
      <c r="A23" s="494" t="s">
        <v>56</v>
      </c>
      <c r="B23" s="342"/>
      <c r="C23" s="48"/>
      <c r="D23" s="82">
        <v>10</v>
      </c>
      <c r="E23" s="82">
        <v>15</v>
      </c>
      <c r="F23" s="82"/>
      <c r="G23" s="82">
        <f>5+15</f>
        <v>20</v>
      </c>
      <c r="H23" s="49">
        <f>SUM(C23:G23)</f>
        <v>45</v>
      </c>
      <c r="I23" s="11"/>
      <c r="J23" s="158">
        <v>7</v>
      </c>
      <c r="K23" s="224">
        <v>3</v>
      </c>
      <c r="L23" s="191">
        <f>SUM(K15:K23)</f>
        <v>35</v>
      </c>
      <c r="M23" s="1"/>
      <c r="N23" s="167">
        <v>5</v>
      </c>
      <c r="O23" s="84">
        <f t="shared" si="2"/>
        <v>0</v>
      </c>
      <c r="P23" s="32">
        <f>SUM(O15:O23)</f>
        <v>0</v>
      </c>
      <c r="Q23" s="1"/>
      <c r="R23" s="167">
        <v>5</v>
      </c>
      <c r="S23" s="84">
        <v>3</v>
      </c>
      <c r="T23" s="32">
        <f>SUM(S15:S23)</f>
        <v>32</v>
      </c>
    </row>
    <row r="24" spans="1:20" x14ac:dyDescent="0.25">
      <c r="A24" s="16"/>
      <c r="B24" s="16"/>
      <c r="C24" s="23"/>
      <c r="D24" s="23"/>
      <c r="E24" s="23"/>
      <c r="F24" s="23"/>
      <c r="G24" s="23"/>
      <c r="H24" s="23"/>
      <c r="I24" s="23"/>
      <c r="J24" s="158">
        <v>8</v>
      </c>
      <c r="K24" s="224">
        <v>3</v>
      </c>
      <c r="L24" s="191">
        <f>SUM(K15:K24)</f>
        <v>38</v>
      </c>
      <c r="M24" s="4"/>
      <c r="N24" s="167">
        <v>6</v>
      </c>
      <c r="O24" s="84">
        <f t="shared" si="2"/>
        <v>0</v>
      </c>
      <c r="P24" s="32">
        <f>SUM(O15:O24)</f>
        <v>0</v>
      </c>
      <c r="Q24" s="4"/>
      <c r="R24" s="167">
        <v>6</v>
      </c>
      <c r="S24" s="221">
        <v>3</v>
      </c>
      <c r="T24" s="32">
        <f>SUM(S15:S24)</f>
        <v>35</v>
      </c>
    </row>
    <row r="25" spans="1:20" x14ac:dyDescent="0.25">
      <c r="A25" s="146"/>
      <c r="B25" s="146"/>
      <c r="C25" s="144"/>
      <c r="D25" s="144"/>
      <c r="E25" s="144"/>
      <c r="F25" s="144"/>
      <c r="G25" s="144"/>
      <c r="H25" s="144"/>
      <c r="I25" s="3"/>
      <c r="J25" s="158">
        <v>9</v>
      </c>
      <c r="K25" s="224">
        <v>3</v>
      </c>
      <c r="L25" s="191">
        <f>SUM(K15:K25)</f>
        <v>41</v>
      </c>
      <c r="M25" s="20"/>
      <c r="N25" s="167">
        <v>7</v>
      </c>
      <c r="O25" s="84">
        <f t="shared" si="2"/>
        <v>0</v>
      </c>
      <c r="P25" s="32">
        <f>SUM(O15:O25)</f>
        <v>0</v>
      </c>
      <c r="Q25" s="20"/>
      <c r="R25" s="167">
        <v>7</v>
      </c>
      <c r="S25" s="221">
        <v>3</v>
      </c>
      <c r="T25" s="32">
        <f>SUM(S15:S25)</f>
        <v>38</v>
      </c>
    </row>
    <row r="26" spans="1:20" x14ac:dyDescent="0.25">
      <c r="A26" s="131"/>
      <c r="B26" s="131"/>
      <c r="C26" s="145"/>
      <c r="D26" s="145"/>
      <c r="E26" s="145"/>
      <c r="F26" s="145"/>
      <c r="G26" s="145"/>
      <c r="H26" s="23"/>
      <c r="I26" s="3"/>
      <c r="J26" s="158">
        <v>10</v>
      </c>
      <c r="K26" s="224">
        <v>3</v>
      </c>
      <c r="L26" s="191">
        <f>SUM(K15:K26)</f>
        <v>44</v>
      </c>
      <c r="M26" s="1"/>
      <c r="N26" s="167">
        <v>8</v>
      </c>
      <c r="O26" s="84">
        <f t="shared" si="2"/>
        <v>0</v>
      </c>
      <c r="P26" s="32">
        <f>SUM(O15:O26)</f>
        <v>0</v>
      </c>
      <c r="Q26" s="1"/>
      <c r="R26" s="167">
        <v>8</v>
      </c>
      <c r="S26" s="84">
        <v>3</v>
      </c>
      <c r="T26" s="32">
        <f>SUM(S15:S26)</f>
        <v>41</v>
      </c>
    </row>
    <row r="27" spans="1:20" ht="15" customHeight="1" thickBot="1" x14ac:dyDescent="0.3">
      <c r="A27" s="3"/>
      <c r="B27" s="3"/>
      <c r="C27" s="3"/>
      <c r="D27" s="3"/>
      <c r="E27" s="3"/>
      <c r="F27" s="3"/>
      <c r="G27" s="3"/>
      <c r="H27" s="3"/>
      <c r="I27" s="3"/>
      <c r="J27" s="59">
        <v>11</v>
      </c>
      <c r="K27" s="224">
        <v>3</v>
      </c>
      <c r="L27" s="191">
        <f>SUM(K15:K27)</f>
        <v>47</v>
      </c>
      <c r="M27" s="1"/>
      <c r="N27" s="167">
        <v>9</v>
      </c>
      <c r="O27" s="84">
        <f t="shared" si="2"/>
        <v>0</v>
      </c>
      <c r="P27" s="32">
        <f>SUM(O15:O27)</f>
        <v>0</v>
      </c>
      <c r="Q27" s="1"/>
      <c r="R27" s="167">
        <v>9</v>
      </c>
      <c r="S27" s="84">
        <v>3</v>
      </c>
      <c r="T27" s="32">
        <f>SUM(S15:S27)</f>
        <v>44</v>
      </c>
    </row>
    <row r="28" spans="1:20" ht="26.25" thickBot="1" x14ac:dyDescent="0.3">
      <c r="A28" s="497" t="s">
        <v>92</v>
      </c>
      <c r="B28" s="498"/>
      <c r="C28" s="120" t="s">
        <v>87</v>
      </c>
      <c r="D28" s="120" t="s">
        <v>88</v>
      </c>
      <c r="E28" s="120" t="s">
        <v>64</v>
      </c>
      <c r="F28" s="120" t="s">
        <v>63</v>
      </c>
      <c r="G28" s="120" t="s">
        <v>65</v>
      </c>
      <c r="H28" s="77" t="s">
        <v>66</v>
      </c>
      <c r="I28" s="3"/>
      <c r="J28" s="158">
        <v>12</v>
      </c>
      <c r="K28" s="224">
        <v>3</v>
      </c>
      <c r="L28" s="191">
        <f>SUM(K15:K28)</f>
        <v>50</v>
      </c>
      <c r="M28" s="1"/>
      <c r="N28" s="167">
        <v>10</v>
      </c>
      <c r="O28" s="84">
        <f t="shared" si="2"/>
        <v>0</v>
      </c>
      <c r="P28" s="32">
        <f>SUM(O15:O28)</f>
        <v>0</v>
      </c>
      <c r="Q28" s="1"/>
      <c r="R28" s="167">
        <v>10</v>
      </c>
      <c r="S28" s="84">
        <v>3</v>
      </c>
      <c r="T28" s="32">
        <f>SUM(S15:S28)</f>
        <v>47</v>
      </c>
    </row>
    <row r="29" spans="1:20" x14ac:dyDescent="0.25">
      <c r="A29" s="499" t="s">
        <v>73</v>
      </c>
      <c r="B29" s="500"/>
      <c r="C29" s="34">
        <f>pe_coma</f>
        <v>0</v>
      </c>
      <c r="D29" s="83"/>
      <c r="E29" s="83"/>
      <c r="F29" s="83"/>
      <c r="G29" s="83"/>
      <c r="H29" s="35">
        <f>SUM(C29:G29)</f>
        <v>0</v>
      </c>
      <c r="I29" s="1"/>
      <c r="J29" s="158">
        <v>13</v>
      </c>
      <c r="K29" s="224">
        <v>3</v>
      </c>
      <c r="L29" s="191">
        <f>SUM(K15:K29)</f>
        <v>53</v>
      </c>
      <c r="M29" s="1"/>
      <c r="N29" s="167">
        <v>11</v>
      </c>
      <c r="O29" s="84">
        <f t="shared" si="2"/>
        <v>0</v>
      </c>
      <c r="P29" s="32">
        <f>SUM(O15:O29)</f>
        <v>0</v>
      </c>
      <c r="Q29" s="1"/>
      <c r="R29" s="167">
        <v>11</v>
      </c>
      <c r="S29" s="84">
        <v>3</v>
      </c>
      <c r="T29" s="32">
        <f>SUM(S15:S29)</f>
        <v>50</v>
      </c>
    </row>
    <row r="30" spans="1:20" x14ac:dyDescent="0.25">
      <c r="A30" s="501" t="s">
        <v>95</v>
      </c>
      <c r="B30" s="502"/>
      <c r="C30" s="2">
        <f>me_psi</f>
        <v>0</v>
      </c>
      <c r="D30" s="84"/>
      <c r="E30" s="84"/>
      <c r="F30" s="84"/>
      <c r="G30" s="84"/>
      <c r="H30" s="32">
        <f>SUM(C30:G30)</f>
        <v>0</v>
      </c>
      <c r="I30" s="1"/>
      <c r="J30" s="158">
        <v>14</v>
      </c>
      <c r="K30" s="224">
        <v>3</v>
      </c>
      <c r="L30" s="191">
        <f>SUM(K15:K30)</f>
        <v>56</v>
      </c>
      <c r="M30" s="1"/>
      <c r="N30" s="167">
        <v>12</v>
      </c>
      <c r="O30" s="84">
        <f t="shared" si="2"/>
        <v>0</v>
      </c>
      <c r="P30" s="32">
        <f>SUM(O15:O30)</f>
        <v>0</v>
      </c>
      <c r="Q30" s="1"/>
      <c r="R30" s="167">
        <v>12</v>
      </c>
      <c r="S30" s="84">
        <v>3</v>
      </c>
      <c r="T30" s="32">
        <f>SUM(S15:S30)</f>
        <v>53</v>
      </c>
    </row>
    <row r="31" spans="1:20" ht="15.75" thickBot="1" x14ac:dyDescent="0.3">
      <c r="A31" s="501" t="s">
        <v>69</v>
      </c>
      <c r="B31" s="502"/>
      <c r="C31" s="15">
        <f>me_insane</f>
        <v>0</v>
      </c>
      <c r="D31" s="84"/>
      <c r="E31" s="84"/>
      <c r="F31" s="84"/>
      <c r="G31" s="84"/>
      <c r="H31" s="32">
        <f t="shared" ref="H31:H40" si="3">SUM(C31:G31)</f>
        <v>0</v>
      </c>
      <c r="I31" s="1"/>
      <c r="J31" s="160">
        <v>15</v>
      </c>
      <c r="K31" s="225">
        <v>3</v>
      </c>
      <c r="L31" s="220">
        <f>SUM(K15:K31)</f>
        <v>59</v>
      </c>
      <c r="M31" s="1"/>
      <c r="N31" s="167">
        <v>13</v>
      </c>
      <c r="O31" s="84">
        <f t="shared" si="2"/>
        <v>0</v>
      </c>
      <c r="P31" s="32">
        <f>SUM(O15:O31)</f>
        <v>0</v>
      </c>
      <c r="Q31" s="1"/>
      <c r="R31" s="167">
        <v>13</v>
      </c>
      <c r="S31" s="84">
        <v>3</v>
      </c>
      <c r="T31" s="32">
        <f>SUM(S15:S31)</f>
        <v>56</v>
      </c>
    </row>
    <row r="32" spans="1:20" x14ac:dyDescent="0.25">
      <c r="A32" s="501" t="s">
        <v>94</v>
      </c>
      <c r="B32" s="502"/>
      <c r="C32" s="2">
        <f>pe_magic</f>
        <v>0</v>
      </c>
      <c r="D32" s="84"/>
      <c r="E32" s="84">
        <v>1</v>
      </c>
      <c r="F32" s="84"/>
      <c r="G32" s="84"/>
      <c r="H32" s="32">
        <f t="shared" si="3"/>
        <v>1</v>
      </c>
      <c r="I32" s="1"/>
      <c r="J32" s="16"/>
      <c r="K32" s="16"/>
      <c r="L32" s="16"/>
      <c r="M32" s="1"/>
      <c r="N32" s="167">
        <v>14</v>
      </c>
      <c r="O32" s="84">
        <f t="shared" si="2"/>
        <v>0</v>
      </c>
      <c r="P32" s="32">
        <f>SUM(O15:O32)</f>
        <v>0</v>
      </c>
      <c r="Q32" s="1"/>
      <c r="R32" s="167">
        <v>14</v>
      </c>
      <c r="S32" s="84">
        <v>3</v>
      </c>
      <c r="T32" s="32">
        <f>SUM(S15:S32)</f>
        <v>59</v>
      </c>
    </row>
    <row r="33" spans="1:20" ht="15.75" thickBot="1" x14ac:dyDescent="0.3">
      <c r="A33" s="523" t="s">
        <v>101</v>
      </c>
      <c r="B33" s="524"/>
      <c r="C33" s="2">
        <f>pe_magic</f>
        <v>0</v>
      </c>
      <c r="D33" s="84"/>
      <c r="E33" s="84"/>
      <c r="F33" s="84"/>
      <c r="G33" s="84"/>
      <c r="H33" s="32">
        <f t="shared" si="3"/>
        <v>0</v>
      </c>
      <c r="I33" s="1"/>
      <c r="J33" s="1"/>
      <c r="K33" s="1"/>
      <c r="L33" s="1"/>
      <c r="M33" s="1"/>
      <c r="N33" s="169">
        <v>15</v>
      </c>
      <c r="O33" s="90">
        <f t="shared" si="2"/>
        <v>0</v>
      </c>
      <c r="P33" s="168">
        <f>SUM(O15:O33)</f>
        <v>0</v>
      </c>
      <c r="Q33" s="1"/>
      <c r="R33" s="169">
        <v>15</v>
      </c>
      <c r="S33" s="90">
        <v>3</v>
      </c>
      <c r="T33" s="168">
        <f>SUM(S15:S33)</f>
        <v>62</v>
      </c>
    </row>
    <row r="34" spans="1:20" x14ac:dyDescent="0.25">
      <c r="A34" s="501" t="s">
        <v>103</v>
      </c>
      <c r="B34" s="502"/>
      <c r="C34" s="2">
        <f>pe_magic</f>
        <v>0</v>
      </c>
      <c r="D34" s="84"/>
      <c r="E34" s="84"/>
      <c r="F34" s="84"/>
      <c r="G34" s="84"/>
      <c r="H34" s="32">
        <f t="shared" si="3"/>
        <v>0</v>
      </c>
      <c r="I34" s="1"/>
      <c r="J34" s="1"/>
      <c r="K34" s="1"/>
      <c r="L34" s="1"/>
      <c r="M34" s="1"/>
      <c r="N34" s="20"/>
      <c r="O34" s="20"/>
      <c r="P34" s="20"/>
      <c r="Q34" s="1"/>
      <c r="R34" s="20"/>
      <c r="S34" s="20"/>
      <c r="T34" s="20"/>
    </row>
    <row r="35" spans="1:20" x14ac:dyDescent="0.25">
      <c r="A35" s="501" t="s">
        <v>97</v>
      </c>
      <c r="B35" s="502"/>
      <c r="C35" s="2">
        <f>pe_magic</f>
        <v>0</v>
      </c>
      <c r="D35" s="84"/>
      <c r="E35" s="84"/>
      <c r="F35" s="84"/>
      <c r="G35" s="84"/>
      <c r="H35" s="32">
        <f t="shared" si="3"/>
        <v>0</v>
      </c>
      <c r="I35" s="1"/>
      <c r="J35" s="1"/>
      <c r="K35" s="1"/>
      <c r="L35" s="1"/>
      <c r="M35" s="1"/>
      <c r="N35" s="1"/>
      <c r="O35" s="1"/>
      <c r="P35" s="1"/>
      <c r="Q35" s="1"/>
      <c r="R35" s="1"/>
      <c r="S35" s="1"/>
      <c r="T35" s="1"/>
    </row>
    <row r="36" spans="1:20" x14ac:dyDescent="0.25">
      <c r="A36" s="501" t="s">
        <v>96</v>
      </c>
      <c r="B36" s="502"/>
      <c r="C36" s="19"/>
      <c r="D36" s="84"/>
      <c r="E36" s="84">
        <v>2</v>
      </c>
      <c r="F36" s="84"/>
      <c r="G36" s="84"/>
      <c r="H36" s="32">
        <f t="shared" si="3"/>
        <v>2</v>
      </c>
      <c r="I36" s="1"/>
      <c r="J36" s="1"/>
      <c r="K36" s="1"/>
      <c r="L36" s="1"/>
      <c r="M36" s="1"/>
      <c r="N36" s="1"/>
      <c r="O36" s="1"/>
      <c r="P36" s="1"/>
      <c r="Q36" s="1"/>
      <c r="R36" s="1"/>
      <c r="S36" s="1"/>
      <c r="T36" s="1"/>
    </row>
    <row r="37" spans="1:20" x14ac:dyDescent="0.25">
      <c r="A37" s="523" t="s">
        <v>102</v>
      </c>
      <c r="B37" s="524"/>
      <c r="C37" s="19"/>
      <c r="D37" s="84"/>
      <c r="E37" s="84"/>
      <c r="F37" s="84"/>
      <c r="G37" s="84"/>
      <c r="H37" s="32">
        <f t="shared" si="3"/>
        <v>0</v>
      </c>
      <c r="I37" s="1"/>
      <c r="J37" s="1"/>
      <c r="K37" s="1"/>
      <c r="L37" s="1"/>
      <c r="M37" s="1"/>
      <c r="N37" s="1"/>
      <c r="O37" s="1"/>
      <c r="P37" s="1"/>
      <c r="Q37" s="1"/>
      <c r="R37" s="1"/>
      <c r="S37" s="1"/>
      <c r="T37" s="1"/>
    </row>
    <row r="38" spans="1:20" x14ac:dyDescent="0.25">
      <c r="A38" s="501" t="s">
        <v>98</v>
      </c>
      <c r="B38" s="502"/>
      <c r="C38" s="15">
        <f>IF(total_iq&gt;48, 7, IF(total_iq&gt;30, ROUNDUP((total_iq-30)/3,0), 0))</f>
        <v>0</v>
      </c>
      <c r="D38" s="84"/>
      <c r="E38" s="84"/>
      <c r="F38" s="84"/>
      <c r="G38" s="84"/>
      <c r="H38" s="32">
        <f t="shared" si="3"/>
        <v>0</v>
      </c>
      <c r="I38" s="1"/>
      <c r="J38" s="1"/>
      <c r="K38" s="1"/>
    </row>
    <row r="39" spans="1:20" x14ac:dyDescent="0.25">
      <c r="A39" s="501" t="s">
        <v>99</v>
      </c>
      <c r="B39" s="502"/>
      <c r="C39" s="15">
        <f>IF(total_me&gt;30, ROUNDUP((total_me-30)/10,0), 0)</f>
        <v>0</v>
      </c>
      <c r="D39" s="84"/>
      <c r="E39" s="84">
        <v>2</v>
      </c>
      <c r="F39" s="84"/>
      <c r="G39" s="84"/>
      <c r="H39" s="32">
        <f t="shared" si="3"/>
        <v>2</v>
      </c>
      <c r="I39" s="1"/>
      <c r="J39" s="1"/>
      <c r="K39" s="1"/>
    </row>
    <row r="40" spans="1:20" ht="15.75" thickBot="1" x14ac:dyDescent="0.3">
      <c r="A40" s="514" t="s">
        <v>100</v>
      </c>
      <c r="B40" s="515"/>
      <c r="C40" s="55"/>
      <c r="D40" s="85"/>
      <c r="E40" s="85"/>
      <c r="F40" s="85"/>
      <c r="G40" s="85"/>
      <c r="H40" s="36">
        <f t="shared" si="3"/>
        <v>0</v>
      </c>
      <c r="I40" s="1"/>
      <c r="J40" s="1"/>
      <c r="K40" s="1"/>
    </row>
    <row r="41" spans="1:20" x14ac:dyDescent="0.25">
      <c r="A41" s="505" t="s">
        <v>105</v>
      </c>
      <c r="B41" s="506"/>
      <c r="C41" s="506"/>
      <c r="D41" s="506"/>
      <c r="E41" s="506"/>
      <c r="F41" s="506"/>
      <c r="G41" s="506"/>
      <c r="H41" s="507"/>
      <c r="I41" s="1"/>
      <c r="J41" s="1"/>
      <c r="K41" s="1"/>
    </row>
    <row r="42" spans="1:20" x14ac:dyDescent="0.25">
      <c r="A42" s="508"/>
      <c r="B42" s="509"/>
      <c r="C42" s="509"/>
      <c r="D42" s="509"/>
      <c r="E42" s="509"/>
      <c r="F42" s="509"/>
      <c r="G42" s="509"/>
      <c r="H42" s="510"/>
      <c r="I42" s="1"/>
      <c r="J42" s="1"/>
      <c r="K42" s="1"/>
    </row>
    <row r="43" spans="1:20" x14ac:dyDescent="0.25">
      <c r="A43" s="508"/>
      <c r="B43" s="509"/>
      <c r="C43" s="509"/>
      <c r="D43" s="509"/>
      <c r="E43" s="509"/>
      <c r="F43" s="509"/>
      <c r="G43" s="509"/>
      <c r="H43" s="510"/>
      <c r="I43" s="1"/>
      <c r="J43" s="1"/>
      <c r="K43" s="1"/>
    </row>
    <row r="44" spans="1:20" x14ac:dyDescent="0.25">
      <c r="A44" s="508"/>
      <c r="B44" s="509"/>
      <c r="C44" s="509"/>
      <c r="D44" s="509"/>
      <c r="E44" s="509"/>
      <c r="F44" s="509"/>
      <c r="G44" s="509"/>
      <c r="H44" s="510"/>
      <c r="I44" s="1"/>
      <c r="J44" s="1"/>
      <c r="K44" s="1"/>
    </row>
    <row r="45" spans="1:20" ht="15.75" thickBot="1" x14ac:dyDescent="0.3">
      <c r="A45" s="511"/>
      <c r="B45" s="512"/>
      <c r="C45" s="512"/>
      <c r="D45" s="512"/>
      <c r="E45" s="512"/>
      <c r="F45" s="512"/>
      <c r="G45" s="512"/>
      <c r="H45" s="513"/>
      <c r="I45" s="1"/>
      <c r="J45" s="1"/>
      <c r="K45" s="1"/>
    </row>
    <row r="46" spans="1:20" x14ac:dyDescent="0.25">
      <c r="A46" s="1"/>
      <c r="B46" s="1"/>
      <c r="C46" s="1"/>
      <c r="D46" s="1"/>
      <c r="E46" s="1"/>
      <c r="F46" s="1"/>
      <c r="G46" s="1"/>
      <c r="H46" s="1"/>
      <c r="I46" s="1"/>
      <c r="J46" s="1"/>
      <c r="K46" s="1"/>
    </row>
    <row r="47" spans="1:20" x14ac:dyDescent="0.25">
      <c r="A47" s="146"/>
      <c r="B47" s="146"/>
      <c r="C47" s="144"/>
      <c r="D47" s="144"/>
      <c r="E47" s="144"/>
      <c r="F47" s="144"/>
      <c r="G47" s="144"/>
      <c r="H47" s="144"/>
      <c r="I47" s="1"/>
      <c r="J47" s="131"/>
      <c r="K47" s="131"/>
    </row>
    <row r="48" spans="1:20" x14ac:dyDescent="0.25">
      <c r="A48" s="131"/>
      <c r="B48" s="131"/>
      <c r="C48" s="145"/>
      <c r="D48" s="145"/>
      <c r="E48" s="145"/>
      <c r="F48" s="145"/>
      <c r="G48" s="145"/>
      <c r="H48" s="23"/>
      <c r="I48" s="1"/>
      <c r="J48" s="132"/>
      <c r="K48" s="132"/>
    </row>
    <row r="49" spans="1:11" x14ac:dyDescent="0.25">
      <c r="A49" s="1"/>
      <c r="B49" s="1"/>
      <c r="C49" s="1"/>
      <c r="D49" s="1"/>
      <c r="E49" s="1"/>
      <c r="F49" s="1"/>
      <c r="G49" s="1"/>
      <c r="H49" s="1"/>
      <c r="I49" s="1"/>
      <c r="J49" s="133"/>
      <c r="K49" s="23"/>
    </row>
    <row r="50" spans="1:11" x14ac:dyDescent="0.25">
      <c r="A50" s="1"/>
      <c r="B50" s="1"/>
      <c r="C50" s="1"/>
      <c r="D50" s="1"/>
      <c r="E50" s="1"/>
      <c r="F50" s="1"/>
      <c r="G50" s="1"/>
      <c r="H50" s="1"/>
      <c r="I50" s="1"/>
      <c r="J50" s="131"/>
      <c r="K50" s="131"/>
    </row>
    <row r="51" spans="1:11" x14ac:dyDescent="0.25">
      <c r="A51" s="1"/>
      <c r="B51" s="1"/>
      <c r="C51" s="1"/>
      <c r="D51" s="1"/>
      <c r="E51" s="1"/>
      <c r="F51" s="1"/>
      <c r="G51" s="1"/>
      <c r="H51" s="1"/>
      <c r="I51" s="1"/>
      <c r="J51" s="128"/>
      <c r="K51" s="23"/>
    </row>
    <row r="52" spans="1:11" x14ac:dyDescent="0.25">
      <c r="A52" s="1"/>
      <c r="B52" s="1"/>
      <c r="C52" s="1"/>
      <c r="D52" s="1"/>
      <c r="E52" s="1"/>
      <c r="F52" s="1"/>
      <c r="G52" s="1"/>
      <c r="H52" s="1"/>
      <c r="I52" s="1"/>
      <c r="J52" s="23"/>
      <c r="K52" s="23"/>
    </row>
    <row r="53" spans="1:11" x14ac:dyDescent="0.25">
      <c r="A53" s="1"/>
      <c r="B53" s="1"/>
      <c r="C53" s="1"/>
      <c r="D53" s="1"/>
      <c r="E53" s="1"/>
      <c r="F53" s="1"/>
      <c r="G53" s="1"/>
      <c r="H53" s="1"/>
      <c r="I53" s="1"/>
      <c r="J53" s="23"/>
      <c r="K53" s="23"/>
    </row>
    <row r="54" spans="1:11" x14ac:dyDescent="0.25">
      <c r="A54" s="1"/>
      <c r="B54" s="1"/>
      <c r="C54" s="1"/>
      <c r="D54" s="1"/>
      <c r="E54" s="1"/>
      <c r="F54" s="1"/>
      <c r="G54" s="1"/>
      <c r="H54" s="1"/>
      <c r="I54" s="1"/>
      <c r="J54" s="127"/>
      <c r="K54" s="127"/>
    </row>
    <row r="55" spans="1:11" x14ac:dyDescent="0.25">
      <c r="A55" s="1"/>
      <c r="B55" s="1"/>
      <c r="C55" s="1"/>
      <c r="D55" s="1"/>
      <c r="E55" s="1"/>
      <c r="F55" s="1"/>
      <c r="G55" s="1"/>
      <c r="H55" s="1"/>
      <c r="I55" s="1"/>
      <c r="J55" s="23"/>
      <c r="K55" s="23"/>
    </row>
    <row r="56" spans="1:11" x14ac:dyDescent="0.25">
      <c r="A56" s="1"/>
      <c r="B56" s="1"/>
      <c r="C56" s="1"/>
      <c r="D56" s="1"/>
      <c r="E56" s="1"/>
      <c r="F56" s="1"/>
      <c r="G56" s="1"/>
      <c r="H56" s="1"/>
      <c r="I56" s="1"/>
      <c r="J56" s="23"/>
      <c r="K56" s="23"/>
    </row>
    <row r="57" spans="1:11" x14ac:dyDescent="0.25">
      <c r="A57" s="1"/>
      <c r="B57" s="1"/>
      <c r="C57" s="1"/>
      <c r="D57" s="1"/>
      <c r="E57" s="1"/>
      <c r="F57" s="1"/>
      <c r="G57" s="1"/>
      <c r="H57" s="1"/>
      <c r="I57" s="1"/>
      <c r="J57" s="23"/>
      <c r="K57" s="23"/>
    </row>
    <row r="58" spans="1:11" x14ac:dyDescent="0.25">
      <c r="A58" s="1"/>
      <c r="B58" s="1"/>
      <c r="C58" s="1"/>
      <c r="D58" s="1"/>
      <c r="E58" s="1"/>
      <c r="F58" s="1"/>
      <c r="G58" s="1"/>
      <c r="H58" s="1"/>
      <c r="I58" s="1"/>
      <c r="J58" s="131"/>
      <c r="K58" s="131"/>
    </row>
    <row r="59" spans="1:11" x14ac:dyDescent="0.25">
      <c r="A59" s="1"/>
      <c r="B59" s="1"/>
      <c r="C59" s="1"/>
      <c r="D59" s="1"/>
      <c r="E59" s="1"/>
      <c r="F59" s="1"/>
      <c r="G59" s="1"/>
      <c r="H59" s="1"/>
      <c r="I59" s="1"/>
      <c r="J59" s="23"/>
      <c r="K59" s="23"/>
    </row>
    <row r="60" spans="1:11" x14ac:dyDescent="0.25">
      <c r="A60" s="1"/>
      <c r="B60" s="1"/>
      <c r="C60" s="1"/>
      <c r="D60" s="1"/>
      <c r="E60" s="1"/>
      <c r="F60" s="1"/>
      <c r="G60" s="1"/>
      <c r="H60" s="1"/>
      <c r="I60" s="1"/>
      <c r="J60" s="23"/>
      <c r="K60" s="23"/>
    </row>
    <row r="61" spans="1:11" x14ac:dyDescent="0.25">
      <c r="A61" s="1"/>
      <c r="B61" s="1"/>
      <c r="C61" s="1"/>
      <c r="D61" s="1"/>
      <c r="E61" s="1"/>
      <c r="F61" s="1"/>
      <c r="G61" s="1"/>
      <c r="H61" s="1"/>
      <c r="I61" s="1"/>
      <c r="J61" s="23"/>
      <c r="K61" s="23"/>
    </row>
    <row r="62" spans="1:11" x14ac:dyDescent="0.25">
      <c r="A62" s="1"/>
      <c r="B62" s="1"/>
      <c r="C62" s="1"/>
      <c r="D62" s="1"/>
      <c r="E62" s="1"/>
      <c r="F62" s="1"/>
      <c r="G62" s="1"/>
      <c r="H62" s="1"/>
      <c r="I62" s="1"/>
      <c r="J62" s="131"/>
      <c r="K62" s="131"/>
    </row>
    <row r="63" spans="1:11" x14ac:dyDescent="0.25">
      <c r="A63" s="1"/>
      <c r="B63" s="1"/>
      <c r="C63" s="1"/>
      <c r="D63" s="1"/>
      <c r="E63" s="1"/>
      <c r="F63" s="1"/>
      <c r="G63" s="1"/>
      <c r="H63" s="1"/>
      <c r="I63" s="1"/>
      <c r="J63" s="23"/>
      <c r="K63" s="23"/>
    </row>
    <row r="64" spans="1:11" x14ac:dyDescent="0.25">
      <c r="A64" s="1"/>
      <c r="B64" s="1"/>
      <c r="C64" s="1"/>
      <c r="D64" s="1"/>
      <c r="E64" s="1"/>
      <c r="F64" s="1"/>
      <c r="G64" s="1"/>
      <c r="H64" s="1"/>
      <c r="I64" s="1"/>
      <c r="J64" s="23"/>
      <c r="K64" s="23"/>
    </row>
    <row r="65" spans="1:11" x14ac:dyDescent="0.25">
      <c r="A65" s="1"/>
      <c r="B65" s="1"/>
      <c r="C65" s="1"/>
      <c r="D65" s="1"/>
      <c r="E65" s="1"/>
      <c r="F65" s="1"/>
      <c r="G65" s="1"/>
      <c r="H65" s="1"/>
      <c r="I65" s="1"/>
      <c r="J65" s="23"/>
      <c r="K65" s="23"/>
    </row>
  </sheetData>
  <sheetProtection algorithmName="SHA-512" hashValue="OWzT8OnQ5xwCFFciUD7Z3jQvCPkb60B+dQsK1hMEK+EBiZ+ENwotwiMJy3jSXAvpO41MABBeug1AKAWQI89Dcw==" saltValue="fQghTn43Z+U9ym7T0Wcg1A==" spinCount="100000" sheet="1" objects="1" scenarios="1" selectLockedCells="1"/>
  <mergeCells count="33">
    <mergeCell ref="A1:K1"/>
    <mergeCell ref="A2:K2"/>
    <mergeCell ref="J12:T12"/>
    <mergeCell ref="A19:B19"/>
    <mergeCell ref="A20:B20"/>
    <mergeCell ref="R14:T14"/>
    <mergeCell ref="L15:L16"/>
    <mergeCell ref="P15:P18"/>
    <mergeCell ref="T15:T18"/>
    <mergeCell ref="J14:L14"/>
    <mergeCell ref="A21:B21"/>
    <mergeCell ref="A22:B22"/>
    <mergeCell ref="A14:B14"/>
    <mergeCell ref="A15:B15"/>
    <mergeCell ref="A16:B16"/>
    <mergeCell ref="A17:B17"/>
    <mergeCell ref="A18:B18"/>
    <mergeCell ref="A38:B38"/>
    <mergeCell ref="A39:B39"/>
    <mergeCell ref="A40:B40"/>
    <mergeCell ref="A41:H45"/>
    <mergeCell ref="N14:P14"/>
    <mergeCell ref="A37:B37"/>
    <mergeCell ref="A28:B28"/>
    <mergeCell ref="A29:B29"/>
    <mergeCell ref="A30:B30"/>
    <mergeCell ref="A31:B31"/>
    <mergeCell ref="A32:B32"/>
    <mergeCell ref="A33:B33"/>
    <mergeCell ref="A34:B34"/>
    <mergeCell ref="A35:B35"/>
    <mergeCell ref="A36:B36"/>
    <mergeCell ref="A23:B23"/>
  </mergeCells>
  <dataValidations count="1">
    <dataValidation type="list" allowBlank="1" showInputMessage="1" showErrorMessage="1" sqref="J48:K50" xr:uid="{00000000-0002-0000-0700-000000000000}">
      <formula1>"Normal, Giant, Supernatural"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N58"/>
  <sheetViews>
    <sheetView topLeftCell="A10" workbookViewId="0">
      <selection activeCell="A18" sqref="A18:C18"/>
    </sheetView>
  </sheetViews>
  <sheetFormatPr defaultRowHeight="15" x14ac:dyDescent="0.25"/>
  <cols>
    <col min="1" max="3" width="8.140625" customWidth="1"/>
    <col min="4" max="4" width="4.28515625" customWidth="1"/>
    <col min="5" max="5" width="6" customWidth="1"/>
    <col min="6" max="6" width="6.140625" customWidth="1"/>
    <col min="7" max="7" width="5.42578125" customWidth="1"/>
    <col min="8" max="8" width="8.5703125" customWidth="1"/>
    <col min="9" max="10" width="6.140625" customWidth="1"/>
    <col min="11" max="11" width="5.28515625" customWidth="1"/>
    <col min="12" max="12" width="5.7109375" customWidth="1"/>
    <col min="13" max="14" width="6.140625" customWidth="1"/>
  </cols>
  <sheetData>
    <row r="1" spans="1:14" ht="28.5" customHeight="1" thickBot="1" x14ac:dyDescent="0.3">
      <c r="A1" s="543" t="s">
        <v>24</v>
      </c>
      <c r="B1" s="544"/>
      <c r="C1" s="545"/>
      <c r="D1" s="63" t="s">
        <v>46</v>
      </c>
      <c r="E1" s="64" t="s">
        <v>123</v>
      </c>
      <c r="F1" s="64" t="s">
        <v>125</v>
      </c>
      <c r="G1" s="64" t="s">
        <v>45</v>
      </c>
      <c r="H1" s="64" t="s">
        <v>149</v>
      </c>
      <c r="I1" s="64" t="s">
        <v>88</v>
      </c>
      <c r="J1" s="64" t="s">
        <v>148</v>
      </c>
      <c r="K1" s="65" t="s">
        <v>47</v>
      </c>
      <c r="L1" s="121" t="s">
        <v>48</v>
      </c>
      <c r="M1" s="66" t="s">
        <v>124</v>
      </c>
      <c r="N1" s="67" t="s">
        <v>126</v>
      </c>
    </row>
    <row r="2" spans="1:14" x14ac:dyDescent="0.25">
      <c r="A2" s="549" t="s">
        <v>294</v>
      </c>
      <c r="B2" s="550"/>
      <c r="C2" s="551"/>
      <c r="D2" s="119">
        <v>30</v>
      </c>
      <c r="E2" s="109"/>
      <c r="F2" s="110"/>
      <c r="G2" s="111">
        <v>5</v>
      </c>
      <c r="H2" s="111">
        <v>1</v>
      </c>
      <c r="I2" s="111"/>
      <c r="J2" s="112">
        <f>'C1-WT'!K5</f>
        <v>0</v>
      </c>
      <c r="K2" s="113"/>
      <c r="L2" s="114">
        <f t="shared" ref="L2:L46" si="0">D2+SUM(I2:K2)+G2*(calc_lev-H2)</f>
        <v>30</v>
      </c>
      <c r="M2" s="115">
        <f t="shared" ref="M2:M46" si="1">IF(E2="", 0, E2+SUM(I2:K2)+G2*(calc_lev-H2))</f>
        <v>0</v>
      </c>
      <c r="N2" s="116">
        <f t="shared" ref="N2:N46" si="2">IF(F2="", 0, F2+SUM(I2:K2)+G2*(calc_lev-H2))</f>
        <v>0</v>
      </c>
    </row>
    <row r="3" spans="1:14" x14ac:dyDescent="0.25">
      <c r="A3" s="546" t="s">
        <v>295</v>
      </c>
      <c r="B3" s="547"/>
      <c r="C3" s="548"/>
      <c r="D3" s="95">
        <v>10</v>
      </c>
      <c r="E3" s="86"/>
      <c r="F3" s="87"/>
      <c r="G3" s="84">
        <v>5</v>
      </c>
      <c r="H3" s="84">
        <v>1</v>
      </c>
      <c r="I3" s="84"/>
      <c r="J3" s="2">
        <f>'C1-WT'!K5</f>
        <v>0</v>
      </c>
      <c r="K3" s="92"/>
      <c r="L3" s="97">
        <f t="shared" si="0"/>
        <v>10</v>
      </c>
      <c r="M3" s="68">
        <f t="shared" si="1"/>
        <v>0</v>
      </c>
      <c r="N3" s="69">
        <f t="shared" si="2"/>
        <v>0</v>
      </c>
    </row>
    <row r="4" spans="1:14" x14ac:dyDescent="0.25">
      <c r="A4" s="546" t="s">
        <v>296</v>
      </c>
      <c r="B4" s="547"/>
      <c r="C4" s="548"/>
      <c r="D4" s="95">
        <v>20</v>
      </c>
      <c r="E4" s="86"/>
      <c r="F4" s="87"/>
      <c r="G4" s="84">
        <v>5</v>
      </c>
      <c r="H4" s="84">
        <v>1</v>
      </c>
      <c r="I4" s="84"/>
      <c r="J4" s="2">
        <f>'C1-WT'!K5</f>
        <v>0</v>
      </c>
      <c r="K4" s="92"/>
      <c r="L4" s="97">
        <f t="shared" si="0"/>
        <v>20</v>
      </c>
      <c r="M4" s="68">
        <f t="shared" si="1"/>
        <v>0</v>
      </c>
      <c r="N4" s="69">
        <f t="shared" si="2"/>
        <v>0</v>
      </c>
    </row>
    <row r="5" spans="1:14" x14ac:dyDescent="0.25">
      <c r="A5" s="546" t="s">
        <v>342</v>
      </c>
      <c r="B5" s="547"/>
      <c r="C5" s="548"/>
      <c r="D5" s="95">
        <v>25</v>
      </c>
      <c r="E5" s="86"/>
      <c r="F5" s="87"/>
      <c r="G5" s="84">
        <v>5</v>
      </c>
      <c r="H5" s="84">
        <v>1</v>
      </c>
      <c r="I5" s="84"/>
      <c r="J5" s="2">
        <f>'C1-WT'!K5</f>
        <v>0</v>
      </c>
      <c r="K5" s="92">
        <v>10</v>
      </c>
      <c r="L5" s="97">
        <f t="shared" si="0"/>
        <v>35</v>
      </c>
      <c r="M5" s="68">
        <f t="shared" si="1"/>
        <v>0</v>
      </c>
      <c r="N5" s="69">
        <f t="shared" si="2"/>
        <v>0</v>
      </c>
    </row>
    <row r="6" spans="1:14" x14ac:dyDescent="0.25">
      <c r="A6" s="546" t="s">
        <v>343</v>
      </c>
      <c r="B6" s="547"/>
      <c r="C6" s="548"/>
      <c r="D6" s="95">
        <v>98</v>
      </c>
      <c r="E6" s="86"/>
      <c r="F6" s="87"/>
      <c r="G6" s="84"/>
      <c r="H6" s="84">
        <v>1</v>
      </c>
      <c r="I6" s="84"/>
      <c r="J6" s="2">
        <f>'C1-WT'!K5</f>
        <v>0</v>
      </c>
      <c r="K6" s="92"/>
      <c r="L6" s="97">
        <f t="shared" si="0"/>
        <v>98</v>
      </c>
      <c r="M6" s="68">
        <f t="shared" si="1"/>
        <v>0</v>
      </c>
      <c r="N6" s="69">
        <f t="shared" si="2"/>
        <v>0</v>
      </c>
    </row>
    <row r="7" spans="1:14" x14ac:dyDescent="0.25">
      <c r="A7" s="552" t="s">
        <v>367</v>
      </c>
      <c r="B7" s="553"/>
      <c r="C7" s="554"/>
      <c r="D7" s="94">
        <v>40</v>
      </c>
      <c r="E7" s="86"/>
      <c r="F7" s="87"/>
      <c r="G7" s="84">
        <v>5</v>
      </c>
      <c r="H7" s="84">
        <v>1</v>
      </c>
      <c r="I7" s="84">
        <v>15</v>
      </c>
      <c r="J7" s="2">
        <f>'C1-WT'!K5</f>
        <v>0</v>
      </c>
      <c r="K7" s="92"/>
      <c r="L7" s="97">
        <f t="shared" si="0"/>
        <v>55</v>
      </c>
      <c r="M7" s="68">
        <f t="shared" si="1"/>
        <v>0</v>
      </c>
      <c r="N7" s="69">
        <f t="shared" si="2"/>
        <v>0</v>
      </c>
    </row>
    <row r="8" spans="1:14" x14ac:dyDescent="0.25">
      <c r="A8" s="546" t="s">
        <v>293</v>
      </c>
      <c r="B8" s="547"/>
      <c r="C8" s="548"/>
      <c r="D8" s="95">
        <v>40</v>
      </c>
      <c r="E8" s="86"/>
      <c r="F8" s="87"/>
      <c r="G8" s="84">
        <v>5</v>
      </c>
      <c r="H8" s="83">
        <v>1</v>
      </c>
      <c r="I8" s="84">
        <v>15</v>
      </c>
      <c r="J8" s="2">
        <f>'C1-WT'!K5</f>
        <v>0</v>
      </c>
      <c r="K8" s="92"/>
      <c r="L8" s="97">
        <f t="shared" si="0"/>
        <v>55</v>
      </c>
      <c r="M8" s="68">
        <f t="shared" si="1"/>
        <v>0</v>
      </c>
      <c r="N8" s="69">
        <f t="shared" si="2"/>
        <v>0</v>
      </c>
    </row>
    <row r="9" spans="1:14" x14ac:dyDescent="0.25">
      <c r="A9" s="552" t="s">
        <v>313</v>
      </c>
      <c r="B9" s="553"/>
      <c r="C9" s="554"/>
      <c r="D9" s="95">
        <v>45</v>
      </c>
      <c r="E9" s="86"/>
      <c r="F9" s="87"/>
      <c r="G9" s="84">
        <v>5</v>
      </c>
      <c r="H9" s="84">
        <v>1</v>
      </c>
      <c r="I9" s="84">
        <v>5</v>
      </c>
      <c r="J9" s="2">
        <f>'C1-WT'!K5</f>
        <v>0</v>
      </c>
      <c r="K9" s="92">
        <v>5</v>
      </c>
      <c r="L9" s="97">
        <f t="shared" si="0"/>
        <v>55</v>
      </c>
      <c r="M9" s="68">
        <f t="shared" si="1"/>
        <v>0</v>
      </c>
      <c r="N9" s="69">
        <f t="shared" si="2"/>
        <v>0</v>
      </c>
    </row>
    <row r="10" spans="1:14" x14ac:dyDescent="0.25">
      <c r="A10" s="546" t="s">
        <v>348</v>
      </c>
      <c r="B10" s="547"/>
      <c r="C10" s="548"/>
      <c r="D10" s="95"/>
      <c r="E10" s="86"/>
      <c r="F10" s="87"/>
      <c r="G10" s="84"/>
      <c r="H10" s="84">
        <v>1</v>
      </c>
      <c r="I10" s="84"/>
      <c r="J10" s="2">
        <f>'C1-WT'!K5</f>
        <v>0</v>
      </c>
      <c r="K10" s="92"/>
      <c r="L10" s="97">
        <f t="shared" si="0"/>
        <v>0</v>
      </c>
      <c r="M10" s="68">
        <f t="shared" si="1"/>
        <v>0</v>
      </c>
      <c r="N10" s="69">
        <f t="shared" si="2"/>
        <v>0</v>
      </c>
    </row>
    <row r="11" spans="1:14" x14ac:dyDescent="0.25">
      <c r="A11" s="546" t="s">
        <v>292</v>
      </c>
      <c r="B11" s="547"/>
      <c r="C11" s="548"/>
      <c r="D11" s="95"/>
      <c r="E11" s="86"/>
      <c r="F11" s="87"/>
      <c r="G11" s="84"/>
      <c r="H11" s="83">
        <v>1</v>
      </c>
      <c r="I11" s="84"/>
      <c r="J11" s="2">
        <f>'C1-WT'!K5</f>
        <v>0</v>
      </c>
      <c r="K11" s="92"/>
      <c r="L11" s="97">
        <f t="shared" si="0"/>
        <v>0</v>
      </c>
      <c r="M11" s="68">
        <f t="shared" si="1"/>
        <v>0</v>
      </c>
      <c r="N11" s="69">
        <f t="shared" si="2"/>
        <v>0</v>
      </c>
    </row>
    <row r="12" spans="1:14" x14ac:dyDescent="0.25">
      <c r="A12" s="546" t="s">
        <v>310</v>
      </c>
      <c r="B12" s="547"/>
      <c r="C12" s="548"/>
      <c r="D12" s="94">
        <v>25</v>
      </c>
      <c r="E12" s="86"/>
      <c r="F12" s="87"/>
      <c r="G12" s="84">
        <v>5</v>
      </c>
      <c r="H12" s="84">
        <v>1</v>
      </c>
      <c r="I12" s="84">
        <v>20</v>
      </c>
      <c r="J12" s="2">
        <f>'C1-WT'!K5</f>
        <v>0</v>
      </c>
      <c r="K12" s="92">
        <v>5</v>
      </c>
      <c r="L12" s="97">
        <f t="shared" si="0"/>
        <v>50</v>
      </c>
      <c r="M12" s="68">
        <f t="shared" si="1"/>
        <v>0</v>
      </c>
      <c r="N12" s="69">
        <f t="shared" si="2"/>
        <v>0</v>
      </c>
    </row>
    <row r="13" spans="1:14" x14ac:dyDescent="0.25">
      <c r="A13" s="552" t="s">
        <v>302</v>
      </c>
      <c r="B13" s="553"/>
      <c r="C13" s="554"/>
      <c r="D13" s="95">
        <v>30</v>
      </c>
      <c r="E13" s="86"/>
      <c r="F13" s="87"/>
      <c r="G13" s="84">
        <v>5</v>
      </c>
      <c r="H13" s="84">
        <v>1</v>
      </c>
      <c r="I13" s="84">
        <v>20</v>
      </c>
      <c r="J13" s="2">
        <f>'C1-WT'!K5</f>
        <v>0</v>
      </c>
      <c r="K13" s="92"/>
      <c r="L13" s="97">
        <f t="shared" si="0"/>
        <v>50</v>
      </c>
      <c r="M13" s="68">
        <f t="shared" si="1"/>
        <v>0</v>
      </c>
      <c r="N13" s="69">
        <f t="shared" si="2"/>
        <v>0</v>
      </c>
    </row>
    <row r="14" spans="1:14" x14ac:dyDescent="0.25">
      <c r="A14" s="552" t="s">
        <v>316</v>
      </c>
      <c r="B14" s="553"/>
      <c r="C14" s="554"/>
      <c r="D14" s="95">
        <v>30</v>
      </c>
      <c r="E14" s="86"/>
      <c r="F14" s="87"/>
      <c r="G14" s="84">
        <v>5</v>
      </c>
      <c r="H14" s="83">
        <v>1</v>
      </c>
      <c r="I14" s="84">
        <v>5</v>
      </c>
      <c r="J14" s="2">
        <f>'C1-WT'!K5</f>
        <v>0</v>
      </c>
      <c r="K14" s="92"/>
      <c r="L14" s="97">
        <f t="shared" si="0"/>
        <v>35</v>
      </c>
      <c r="M14" s="68">
        <f t="shared" si="1"/>
        <v>0</v>
      </c>
      <c r="N14" s="69">
        <f t="shared" si="2"/>
        <v>0</v>
      </c>
    </row>
    <row r="15" spans="1:14" x14ac:dyDescent="0.25">
      <c r="A15" s="546" t="s">
        <v>368</v>
      </c>
      <c r="B15" s="547"/>
      <c r="C15" s="548"/>
      <c r="D15" s="95">
        <v>40</v>
      </c>
      <c r="E15" s="86"/>
      <c r="F15" s="87"/>
      <c r="G15" s="84">
        <v>5</v>
      </c>
      <c r="H15" s="84">
        <v>1</v>
      </c>
      <c r="I15" s="84"/>
      <c r="J15" s="2">
        <f>'C1-WT'!K5</f>
        <v>0</v>
      </c>
      <c r="K15" s="92">
        <v>10</v>
      </c>
      <c r="L15" s="97">
        <f t="shared" si="0"/>
        <v>50</v>
      </c>
      <c r="M15" s="68">
        <f t="shared" si="1"/>
        <v>0</v>
      </c>
      <c r="N15" s="69">
        <f t="shared" si="2"/>
        <v>0</v>
      </c>
    </row>
    <row r="16" spans="1:14" ht="15.75" thickBot="1" x14ac:dyDescent="0.3">
      <c r="A16" s="546" t="s">
        <v>369</v>
      </c>
      <c r="B16" s="547"/>
      <c r="C16" s="548"/>
      <c r="D16" s="96"/>
      <c r="E16" s="88"/>
      <c r="F16" s="89"/>
      <c r="G16" s="90"/>
      <c r="H16" s="90">
        <v>1</v>
      </c>
      <c r="I16" s="90"/>
      <c r="J16" s="33">
        <f>'C1-WT'!K5</f>
        <v>0</v>
      </c>
      <c r="K16" s="93"/>
      <c r="L16" s="98">
        <f t="shared" si="0"/>
        <v>0</v>
      </c>
      <c r="M16" s="117">
        <f t="shared" si="1"/>
        <v>0</v>
      </c>
      <c r="N16" s="118">
        <f t="shared" si="2"/>
        <v>0</v>
      </c>
    </row>
    <row r="17" spans="1:14" x14ac:dyDescent="0.25">
      <c r="A17" s="549" t="s">
        <v>371</v>
      </c>
      <c r="B17" s="550"/>
      <c r="C17" s="551"/>
      <c r="D17" s="253">
        <v>30</v>
      </c>
      <c r="E17" s="109"/>
      <c r="F17" s="110"/>
      <c r="G17" s="111">
        <v>5</v>
      </c>
      <c r="H17" s="111">
        <v>1</v>
      </c>
      <c r="I17" s="111">
        <v>10</v>
      </c>
      <c r="J17" s="112">
        <f>'C1-WT'!K5</f>
        <v>0</v>
      </c>
      <c r="K17" s="254"/>
      <c r="L17" s="251">
        <f t="shared" si="0"/>
        <v>40</v>
      </c>
      <c r="M17" s="115">
        <f t="shared" si="1"/>
        <v>0</v>
      </c>
      <c r="N17" s="116">
        <f t="shared" si="2"/>
        <v>0</v>
      </c>
    </row>
    <row r="18" spans="1:14" x14ac:dyDescent="0.25">
      <c r="A18" s="546" t="str">
        <f>IF(VLOOKUP(hth_occ3, hth3_cost, 5, FALSE)="", "Leather Working", VLOOKUP(hth_occ3, hth3_cost, 5, FALSE))</f>
        <v>Leather Working</v>
      </c>
      <c r="B18" s="547"/>
      <c r="C18" s="548"/>
      <c r="D18" s="255">
        <f>IF(VLOOKUP(hth_occ3, hth3_cost, 5, FALSE)="", 30, 0)</f>
        <v>30</v>
      </c>
      <c r="E18" s="86"/>
      <c r="F18" s="87"/>
      <c r="G18" s="84">
        <f>IF(VLOOKUP(hth_occ3, hth3_cost, 5, FALSE)="", 5, 0)</f>
        <v>5</v>
      </c>
      <c r="H18" s="83">
        <v>1</v>
      </c>
      <c r="I18" s="84">
        <f>IF(VLOOKUP(hth_occ3, hth3_cost, 5, FALSE)="", 10, 0)</f>
        <v>10</v>
      </c>
      <c r="J18" s="2">
        <f>'C1-WT'!K5</f>
        <v>0</v>
      </c>
      <c r="K18" s="256"/>
      <c r="L18" s="250">
        <f t="shared" si="0"/>
        <v>40</v>
      </c>
      <c r="M18" s="68">
        <f t="shared" si="1"/>
        <v>0</v>
      </c>
      <c r="N18" s="69">
        <f t="shared" si="2"/>
        <v>0</v>
      </c>
    </row>
    <row r="19" spans="1:14" x14ac:dyDescent="0.25">
      <c r="A19" s="568" t="str">
        <f>IF(VLOOKUP(hth_occ3, hth3_cost, 4, FALSE)="", "Armor/Weapon Decoration", VLOOKUP(hth_occ3, hth3_cost, 4, FALSE))</f>
        <v>Armor/Weapon Decoration</v>
      </c>
      <c r="B19" s="569"/>
      <c r="C19" s="570"/>
      <c r="D19" s="255">
        <f>IF(VLOOKUP(hth_occ3, hth3_cost, 4, FALSE)="", 35, 0)</f>
        <v>35</v>
      </c>
      <c r="E19" s="86"/>
      <c r="F19" s="87"/>
      <c r="G19" s="84">
        <f>IF(VLOOKUP(hth_occ3, hth3_cost, 4, FALSE)="", 5, 0)</f>
        <v>5</v>
      </c>
      <c r="H19" s="84">
        <v>1</v>
      </c>
      <c r="I19" s="84">
        <f>IF(VLOOKUP(hth_occ3, hth3_cost, 4, FALSE)="", 10, 0)</f>
        <v>10</v>
      </c>
      <c r="J19" s="2">
        <f>'C1-WT'!K5</f>
        <v>0</v>
      </c>
      <c r="K19" s="256"/>
      <c r="L19" s="250">
        <f t="shared" si="0"/>
        <v>45</v>
      </c>
      <c r="M19" s="68">
        <f t="shared" si="1"/>
        <v>0</v>
      </c>
      <c r="N19" s="69">
        <f t="shared" si="2"/>
        <v>0</v>
      </c>
    </row>
    <row r="20" spans="1:14" x14ac:dyDescent="0.25">
      <c r="A20" s="546" t="str">
        <f>IF(VLOOKUP(hth_occ3, hth3_cost, 3, FALSE)="", "Fashion Tools", VLOOKUP(hth_occ3, hth3_cost, 3, FALSE))</f>
        <v>Fashion Tools</v>
      </c>
      <c r="B20" s="547"/>
      <c r="C20" s="548"/>
      <c r="D20" s="255">
        <f>IF(VLOOKUP(hth_occ3, hth3_cost, 3, FALSE)="", 25, 0)</f>
        <v>25</v>
      </c>
      <c r="E20" s="86"/>
      <c r="F20" s="87"/>
      <c r="G20" s="84">
        <f>IF(VLOOKUP(hth_occ3, hth3_cost, 3, FALSE)="", 5, 0)</f>
        <v>5</v>
      </c>
      <c r="H20" s="84">
        <v>1</v>
      </c>
      <c r="I20" s="84">
        <f>IF(VLOOKUP(hth_occ3, hth3_cost, 3, FALSE)="", 10, 0)</f>
        <v>10</v>
      </c>
      <c r="J20" s="2">
        <f>'C1-WT'!K5</f>
        <v>0</v>
      </c>
      <c r="K20" s="256"/>
      <c r="L20" s="250">
        <f t="shared" si="0"/>
        <v>35</v>
      </c>
      <c r="M20" s="68">
        <f t="shared" si="1"/>
        <v>0</v>
      </c>
      <c r="N20" s="69">
        <f t="shared" si="2"/>
        <v>0</v>
      </c>
    </row>
    <row r="21" spans="1:14" x14ac:dyDescent="0.25">
      <c r="A21" s="546" t="s">
        <v>373</v>
      </c>
      <c r="B21" s="547"/>
      <c r="C21" s="548"/>
      <c r="D21" s="255">
        <v>30</v>
      </c>
      <c r="E21" s="86"/>
      <c r="F21" s="87"/>
      <c r="G21" s="84">
        <v>5</v>
      </c>
      <c r="H21" s="83">
        <v>1</v>
      </c>
      <c r="I21" s="84"/>
      <c r="J21" s="2">
        <f>'C1-WT'!K5</f>
        <v>0</v>
      </c>
      <c r="K21" s="256"/>
      <c r="L21" s="250">
        <f t="shared" si="0"/>
        <v>30</v>
      </c>
      <c r="M21" s="68">
        <f t="shared" si="1"/>
        <v>0</v>
      </c>
      <c r="N21" s="69">
        <f t="shared" si="2"/>
        <v>0</v>
      </c>
    </row>
    <row r="22" spans="1:14" x14ac:dyDescent="0.25">
      <c r="A22" s="546" t="s">
        <v>374</v>
      </c>
      <c r="B22" s="547"/>
      <c r="C22" s="548"/>
      <c r="D22" s="257">
        <v>25</v>
      </c>
      <c r="E22" s="86"/>
      <c r="F22" s="87"/>
      <c r="G22" s="84">
        <v>5</v>
      </c>
      <c r="H22" s="84">
        <v>1</v>
      </c>
      <c r="I22" s="84"/>
      <c r="J22" s="2">
        <f>'C1-WT'!K5</f>
        <v>0</v>
      </c>
      <c r="K22" s="256">
        <v>5</v>
      </c>
      <c r="L22" s="250">
        <f t="shared" si="0"/>
        <v>30</v>
      </c>
      <c r="M22" s="68">
        <f t="shared" si="1"/>
        <v>0</v>
      </c>
      <c r="N22" s="69">
        <f t="shared" si="2"/>
        <v>0</v>
      </c>
    </row>
    <row r="23" spans="1:14" x14ac:dyDescent="0.25">
      <c r="A23" s="546" t="str">
        <f>"W.P."&amp;" "&amp;IF('Primary Worksheet'!H11="Blunt", "Chain", 'Primary Worksheet'!H11)</f>
        <v>W.P. Chain</v>
      </c>
      <c r="B23" s="547"/>
      <c r="C23" s="548"/>
      <c r="D23" s="255"/>
      <c r="E23" s="86"/>
      <c r="F23" s="87"/>
      <c r="G23" s="84"/>
      <c r="H23" s="84">
        <v>1</v>
      </c>
      <c r="I23" s="84"/>
      <c r="J23" s="2">
        <f>'C1-WT'!K5</f>
        <v>0</v>
      </c>
      <c r="K23" s="256"/>
      <c r="L23" s="250">
        <f t="shared" si="0"/>
        <v>0</v>
      </c>
      <c r="M23" s="68">
        <f t="shared" si="1"/>
        <v>0</v>
      </c>
      <c r="N23" s="69">
        <f t="shared" si="2"/>
        <v>0</v>
      </c>
    </row>
    <row r="24" spans="1:14" x14ac:dyDescent="0.25">
      <c r="A24" s="546" t="str">
        <f>"W.P."&amp;" "&amp;IF('Primary Worksheet'!H16="Blunt","Knife",IF('Primary Worksheet'!H16="Chain","Knife",'Primary Worksheet'!H16))</f>
        <v>W.P. Knife</v>
      </c>
      <c r="B24" s="547"/>
      <c r="C24" s="548"/>
      <c r="D24" s="255"/>
      <c r="E24" s="86"/>
      <c r="F24" s="87"/>
      <c r="G24" s="84"/>
      <c r="H24" s="83">
        <v>1</v>
      </c>
      <c r="I24" s="84"/>
      <c r="J24" s="2">
        <f>'C1-WT'!K5</f>
        <v>0</v>
      </c>
      <c r="K24" s="256"/>
      <c r="L24" s="250">
        <f t="shared" si="0"/>
        <v>0</v>
      </c>
      <c r="M24" s="68">
        <f t="shared" si="1"/>
        <v>0</v>
      </c>
      <c r="N24" s="69">
        <f t="shared" si="2"/>
        <v>0</v>
      </c>
    </row>
    <row r="25" spans="1:14" x14ac:dyDescent="0.25">
      <c r="A25" s="546" t="s">
        <v>376</v>
      </c>
      <c r="B25" s="547"/>
      <c r="C25" s="548"/>
      <c r="D25" s="255">
        <v>30</v>
      </c>
      <c r="E25" s="86"/>
      <c r="F25" s="87"/>
      <c r="G25" s="84">
        <v>5</v>
      </c>
      <c r="H25" s="84">
        <v>3</v>
      </c>
      <c r="I25" s="84">
        <v>10</v>
      </c>
      <c r="J25" s="2">
        <f>'C1-WT'!K5</f>
        <v>0</v>
      </c>
      <c r="K25" s="256">
        <f>IF(calc_lev&gt;6, 15, 0)</f>
        <v>0</v>
      </c>
      <c r="L25" s="250">
        <f t="shared" si="0"/>
        <v>30</v>
      </c>
      <c r="M25" s="68">
        <f t="shared" si="1"/>
        <v>0</v>
      </c>
      <c r="N25" s="69">
        <f t="shared" si="2"/>
        <v>0</v>
      </c>
    </row>
    <row r="26" spans="1:14" x14ac:dyDescent="0.25">
      <c r="A26" s="552" t="s">
        <v>377</v>
      </c>
      <c r="B26" s="553"/>
      <c r="C26" s="554"/>
      <c r="D26" s="255">
        <v>30</v>
      </c>
      <c r="E26" s="86"/>
      <c r="F26" s="87"/>
      <c r="G26" s="84">
        <v>5</v>
      </c>
      <c r="H26" s="84">
        <v>3</v>
      </c>
      <c r="I26" s="84">
        <v>10</v>
      </c>
      <c r="J26" s="2">
        <f>'C1-WT'!K5</f>
        <v>0</v>
      </c>
      <c r="K26" s="256">
        <f>IF(calc_lev&gt;10, 15, 5)</f>
        <v>5</v>
      </c>
      <c r="L26" s="250">
        <f t="shared" si="0"/>
        <v>35</v>
      </c>
      <c r="M26" s="68">
        <f t="shared" si="1"/>
        <v>0</v>
      </c>
      <c r="N26" s="69">
        <f t="shared" si="2"/>
        <v>0</v>
      </c>
    </row>
    <row r="27" spans="1:14" x14ac:dyDescent="0.25">
      <c r="A27" s="546" t="s">
        <v>378</v>
      </c>
      <c r="B27" s="547"/>
      <c r="C27" s="548"/>
      <c r="D27" s="257">
        <v>15</v>
      </c>
      <c r="E27" s="86"/>
      <c r="F27" s="87"/>
      <c r="G27" s="84">
        <v>5</v>
      </c>
      <c r="H27" s="83">
        <v>3</v>
      </c>
      <c r="I27" s="84"/>
      <c r="J27" s="2">
        <f>'C1-WT'!K5</f>
        <v>0</v>
      </c>
      <c r="K27" s="256">
        <f>IF(calc_lev&gt;7, 20, 15)</f>
        <v>15</v>
      </c>
      <c r="L27" s="250">
        <f t="shared" si="0"/>
        <v>20</v>
      </c>
      <c r="M27" s="68">
        <f t="shared" si="1"/>
        <v>0</v>
      </c>
      <c r="N27" s="69">
        <f t="shared" si="2"/>
        <v>0</v>
      </c>
    </row>
    <row r="28" spans="1:14" x14ac:dyDescent="0.25">
      <c r="A28" s="546" t="s">
        <v>372</v>
      </c>
      <c r="B28" s="547"/>
      <c r="C28" s="548"/>
      <c r="D28" s="255"/>
      <c r="E28" s="86"/>
      <c r="F28" s="87"/>
      <c r="G28" s="84"/>
      <c r="H28" s="84">
        <v>3</v>
      </c>
      <c r="I28" s="84"/>
      <c r="J28" s="2">
        <f>'C1-WT'!K5</f>
        <v>0</v>
      </c>
      <c r="K28" s="256"/>
      <c r="L28" s="250">
        <f t="shared" si="0"/>
        <v>0</v>
      </c>
      <c r="M28" s="68">
        <f t="shared" si="1"/>
        <v>0</v>
      </c>
      <c r="N28" s="69">
        <f t="shared" si="2"/>
        <v>0</v>
      </c>
    </row>
    <row r="29" spans="1:14" x14ac:dyDescent="0.25">
      <c r="A29" s="552" t="s">
        <v>300</v>
      </c>
      <c r="B29" s="553"/>
      <c r="C29" s="554"/>
      <c r="D29" s="255">
        <v>25</v>
      </c>
      <c r="E29" s="86"/>
      <c r="F29" s="87"/>
      <c r="G29" s="84">
        <v>5</v>
      </c>
      <c r="H29" s="84">
        <v>7</v>
      </c>
      <c r="I29" s="84"/>
      <c r="J29" s="2">
        <f>'C1-WT'!K5</f>
        <v>0</v>
      </c>
      <c r="K29" s="256">
        <v>5</v>
      </c>
      <c r="L29" s="250">
        <f t="shared" si="0"/>
        <v>0</v>
      </c>
      <c r="M29" s="68">
        <f t="shared" si="1"/>
        <v>0</v>
      </c>
      <c r="N29" s="69">
        <f t="shared" si="2"/>
        <v>0</v>
      </c>
    </row>
    <row r="30" spans="1:14" x14ac:dyDescent="0.25">
      <c r="A30" s="546" t="s">
        <v>379</v>
      </c>
      <c r="B30" s="547"/>
      <c r="C30" s="548"/>
      <c r="D30" s="255"/>
      <c r="E30" s="86"/>
      <c r="F30" s="87"/>
      <c r="G30" s="84"/>
      <c r="H30" s="83">
        <v>7</v>
      </c>
      <c r="I30" s="84"/>
      <c r="J30" s="2">
        <f>'C1-WT'!K5</f>
        <v>0</v>
      </c>
      <c r="K30" s="256"/>
      <c r="L30" s="250">
        <f t="shared" si="0"/>
        <v>0</v>
      </c>
      <c r="M30" s="68">
        <f t="shared" si="1"/>
        <v>0</v>
      </c>
      <c r="N30" s="69">
        <f t="shared" si="2"/>
        <v>0</v>
      </c>
    </row>
    <row r="31" spans="1:14" ht="15.75" thickBot="1" x14ac:dyDescent="0.3">
      <c r="A31" s="546" t="s">
        <v>381</v>
      </c>
      <c r="B31" s="547"/>
      <c r="C31" s="548"/>
      <c r="D31" s="258">
        <v>30</v>
      </c>
      <c r="E31" s="88"/>
      <c r="F31" s="89"/>
      <c r="G31" s="90">
        <v>5</v>
      </c>
      <c r="H31" s="90">
        <v>8</v>
      </c>
      <c r="I31" s="90">
        <v>10</v>
      </c>
      <c r="J31" s="33">
        <f>'C1-WT'!K5</f>
        <v>0</v>
      </c>
      <c r="K31" s="259">
        <v>5</v>
      </c>
      <c r="L31" s="252">
        <f t="shared" si="0"/>
        <v>10</v>
      </c>
      <c r="M31" s="117">
        <f t="shared" si="1"/>
        <v>0</v>
      </c>
      <c r="N31" s="118">
        <f t="shared" si="2"/>
        <v>0</v>
      </c>
    </row>
    <row r="32" spans="1:14" x14ac:dyDescent="0.25">
      <c r="A32" s="549" t="s">
        <v>380</v>
      </c>
      <c r="B32" s="550"/>
      <c r="C32" s="551"/>
      <c r="D32" s="119"/>
      <c r="E32" s="109"/>
      <c r="F32" s="110"/>
      <c r="G32" s="111"/>
      <c r="H32" s="111">
        <v>11</v>
      </c>
      <c r="I32" s="111"/>
      <c r="J32" s="112">
        <f>'C1-WT'!K5</f>
        <v>0</v>
      </c>
      <c r="K32" s="113"/>
      <c r="L32" s="114">
        <f t="shared" si="0"/>
        <v>0</v>
      </c>
      <c r="M32" s="115">
        <f t="shared" si="1"/>
        <v>0</v>
      </c>
      <c r="N32" s="116">
        <f t="shared" si="2"/>
        <v>0</v>
      </c>
    </row>
    <row r="33" spans="1:14" x14ac:dyDescent="0.25">
      <c r="A33" s="555" t="s">
        <v>366</v>
      </c>
      <c r="B33" s="556"/>
      <c r="C33" s="557"/>
      <c r="D33" s="95"/>
      <c r="E33" s="86"/>
      <c r="F33" s="87"/>
      <c r="G33" s="84"/>
      <c r="H33" s="83">
        <v>11</v>
      </c>
      <c r="I33" s="84"/>
      <c r="J33" s="2">
        <f>'C1-WT'!K5</f>
        <v>0</v>
      </c>
      <c r="K33" s="92"/>
      <c r="L33" s="97">
        <f t="shared" si="0"/>
        <v>0</v>
      </c>
      <c r="M33" s="68">
        <f t="shared" si="1"/>
        <v>0</v>
      </c>
      <c r="N33" s="69">
        <f t="shared" si="2"/>
        <v>0</v>
      </c>
    </row>
    <row r="34" spans="1:14" x14ac:dyDescent="0.25">
      <c r="A34" s="546" t="s">
        <v>382</v>
      </c>
      <c r="B34" s="547"/>
      <c r="C34" s="548"/>
      <c r="D34" s="95">
        <v>25</v>
      </c>
      <c r="E34" s="86">
        <v>30</v>
      </c>
      <c r="F34" s="87"/>
      <c r="G34" s="84">
        <v>5</v>
      </c>
      <c r="H34" s="83">
        <v>12</v>
      </c>
      <c r="I34" s="84"/>
      <c r="J34" s="2">
        <f>'C1-WT'!K5</f>
        <v>0</v>
      </c>
      <c r="K34" s="92"/>
      <c r="L34" s="97">
        <f t="shared" si="0"/>
        <v>-30</v>
      </c>
      <c r="M34" s="68">
        <f t="shared" si="1"/>
        <v>-25</v>
      </c>
      <c r="N34" s="69">
        <f t="shared" si="2"/>
        <v>0</v>
      </c>
    </row>
    <row r="35" spans="1:14" x14ac:dyDescent="0.25">
      <c r="A35" s="552"/>
      <c r="B35" s="553"/>
      <c r="C35" s="554"/>
      <c r="D35" s="95"/>
      <c r="E35" s="86"/>
      <c r="F35" s="87"/>
      <c r="G35" s="84"/>
      <c r="H35" s="84">
        <v>1</v>
      </c>
      <c r="I35" s="84"/>
      <c r="J35" s="2">
        <f>'C1-WT'!K5</f>
        <v>0</v>
      </c>
      <c r="K35" s="92"/>
      <c r="L35" s="97">
        <f t="shared" si="0"/>
        <v>0</v>
      </c>
      <c r="M35" s="68">
        <f t="shared" si="1"/>
        <v>0</v>
      </c>
      <c r="N35" s="69">
        <f t="shared" si="2"/>
        <v>0</v>
      </c>
    </row>
    <row r="36" spans="1:14" x14ac:dyDescent="0.25">
      <c r="A36" s="546"/>
      <c r="B36" s="547"/>
      <c r="C36" s="548"/>
      <c r="D36" s="95"/>
      <c r="E36" s="86"/>
      <c r="F36" s="87"/>
      <c r="G36" s="84"/>
      <c r="H36" s="84">
        <v>1</v>
      </c>
      <c r="I36" s="84"/>
      <c r="J36" s="2">
        <f>'C1-WT'!K5</f>
        <v>0</v>
      </c>
      <c r="K36" s="92"/>
      <c r="L36" s="97">
        <f t="shared" si="0"/>
        <v>0</v>
      </c>
      <c r="M36" s="68">
        <f t="shared" si="1"/>
        <v>0</v>
      </c>
      <c r="N36" s="69">
        <f t="shared" si="2"/>
        <v>0</v>
      </c>
    </row>
    <row r="37" spans="1:14" x14ac:dyDescent="0.25">
      <c r="A37" s="546"/>
      <c r="B37" s="547"/>
      <c r="C37" s="548"/>
      <c r="D37" s="94"/>
      <c r="E37" s="86"/>
      <c r="F37" s="87"/>
      <c r="G37" s="84"/>
      <c r="H37" s="83">
        <v>1</v>
      </c>
      <c r="I37" s="84"/>
      <c r="J37" s="2">
        <f>'C1-WT'!K5</f>
        <v>0</v>
      </c>
      <c r="K37" s="92"/>
      <c r="L37" s="97">
        <f t="shared" si="0"/>
        <v>0</v>
      </c>
      <c r="M37" s="68">
        <f t="shared" si="1"/>
        <v>0</v>
      </c>
      <c r="N37" s="69">
        <f t="shared" si="2"/>
        <v>0</v>
      </c>
    </row>
    <row r="38" spans="1:14" x14ac:dyDescent="0.25">
      <c r="A38" s="552"/>
      <c r="B38" s="553"/>
      <c r="C38" s="554"/>
      <c r="D38" s="95"/>
      <c r="E38" s="86"/>
      <c r="F38" s="87"/>
      <c r="G38" s="84"/>
      <c r="H38" s="84">
        <v>1</v>
      </c>
      <c r="I38" s="84"/>
      <c r="J38" s="2">
        <f>'C1-WT'!K5</f>
        <v>0</v>
      </c>
      <c r="K38" s="92"/>
      <c r="L38" s="97">
        <f t="shared" si="0"/>
        <v>0</v>
      </c>
      <c r="M38" s="68">
        <f t="shared" si="1"/>
        <v>0</v>
      </c>
      <c r="N38" s="69">
        <f t="shared" si="2"/>
        <v>0</v>
      </c>
    </row>
    <row r="39" spans="1:14" x14ac:dyDescent="0.25">
      <c r="A39" s="546"/>
      <c r="B39" s="547"/>
      <c r="C39" s="548"/>
      <c r="D39" s="95"/>
      <c r="E39" s="86"/>
      <c r="F39" s="87"/>
      <c r="G39" s="84"/>
      <c r="H39" s="84">
        <v>1</v>
      </c>
      <c r="I39" s="84"/>
      <c r="J39" s="2">
        <f>'C1-WT'!K5</f>
        <v>0</v>
      </c>
      <c r="K39" s="92"/>
      <c r="L39" s="97">
        <f t="shared" si="0"/>
        <v>0</v>
      </c>
      <c r="M39" s="68">
        <f t="shared" si="1"/>
        <v>0</v>
      </c>
      <c r="N39" s="69">
        <f t="shared" si="2"/>
        <v>0</v>
      </c>
    </row>
    <row r="40" spans="1:14" x14ac:dyDescent="0.25">
      <c r="A40" s="546"/>
      <c r="B40" s="547"/>
      <c r="C40" s="548"/>
      <c r="D40" s="95"/>
      <c r="E40" s="86"/>
      <c r="F40" s="87"/>
      <c r="G40" s="84"/>
      <c r="H40" s="83">
        <v>1</v>
      </c>
      <c r="I40" s="84"/>
      <c r="J40" s="2">
        <f>'C1-WT'!K5</f>
        <v>0</v>
      </c>
      <c r="K40" s="92"/>
      <c r="L40" s="97">
        <f t="shared" si="0"/>
        <v>0</v>
      </c>
      <c r="M40" s="68">
        <f t="shared" si="1"/>
        <v>0</v>
      </c>
      <c r="N40" s="69">
        <f t="shared" si="2"/>
        <v>0</v>
      </c>
    </row>
    <row r="41" spans="1:14" x14ac:dyDescent="0.25">
      <c r="A41" s="552"/>
      <c r="B41" s="553"/>
      <c r="C41" s="554"/>
      <c r="D41" s="95"/>
      <c r="E41" s="86"/>
      <c r="F41" s="87"/>
      <c r="G41" s="84"/>
      <c r="H41" s="84">
        <v>1</v>
      </c>
      <c r="I41" s="84"/>
      <c r="J41" s="2">
        <f>'C1-WT'!K5</f>
        <v>0</v>
      </c>
      <c r="K41" s="92"/>
      <c r="L41" s="97">
        <f t="shared" si="0"/>
        <v>0</v>
      </c>
      <c r="M41" s="68">
        <f t="shared" si="1"/>
        <v>0</v>
      </c>
      <c r="N41" s="69">
        <f t="shared" si="2"/>
        <v>0</v>
      </c>
    </row>
    <row r="42" spans="1:14" x14ac:dyDescent="0.25">
      <c r="A42" s="546"/>
      <c r="B42" s="547"/>
      <c r="C42" s="548"/>
      <c r="D42" s="94"/>
      <c r="E42" s="86"/>
      <c r="F42" s="87"/>
      <c r="G42" s="84"/>
      <c r="H42" s="84">
        <v>1</v>
      </c>
      <c r="I42" s="84"/>
      <c r="J42" s="2">
        <f>'C1-WT'!K5</f>
        <v>0</v>
      </c>
      <c r="K42" s="92"/>
      <c r="L42" s="97">
        <f t="shared" si="0"/>
        <v>0</v>
      </c>
      <c r="M42" s="68">
        <f t="shared" si="1"/>
        <v>0</v>
      </c>
      <c r="N42" s="69">
        <f t="shared" si="2"/>
        <v>0</v>
      </c>
    </row>
    <row r="43" spans="1:14" x14ac:dyDescent="0.25">
      <c r="A43" s="546"/>
      <c r="B43" s="547"/>
      <c r="C43" s="548"/>
      <c r="D43" s="95"/>
      <c r="E43" s="86"/>
      <c r="F43" s="87"/>
      <c r="G43" s="84"/>
      <c r="H43" s="83">
        <v>1</v>
      </c>
      <c r="I43" s="84"/>
      <c r="J43" s="2">
        <f>'C1-WT'!K5</f>
        <v>0</v>
      </c>
      <c r="K43" s="92"/>
      <c r="L43" s="97">
        <f t="shared" si="0"/>
        <v>0</v>
      </c>
      <c r="M43" s="68">
        <f t="shared" si="1"/>
        <v>0</v>
      </c>
      <c r="N43" s="69">
        <f t="shared" si="2"/>
        <v>0</v>
      </c>
    </row>
    <row r="44" spans="1:14" x14ac:dyDescent="0.25">
      <c r="A44" s="552"/>
      <c r="B44" s="553"/>
      <c r="C44" s="554"/>
      <c r="D44" s="95"/>
      <c r="E44" s="86"/>
      <c r="F44" s="87"/>
      <c r="G44" s="84"/>
      <c r="H44" s="84">
        <v>1</v>
      </c>
      <c r="I44" s="84"/>
      <c r="J44" s="2">
        <f>'C1-WT'!K5</f>
        <v>0</v>
      </c>
      <c r="K44" s="92"/>
      <c r="L44" s="97">
        <f t="shared" si="0"/>
        <v>0</v>
      </c>
      <c r="M44" s="68">
        <f t="shared" si="1"/>
        <v>0</v>
      </c>
      <c r="N44" s="69">
        <f t="shared" si="2"/>
        <v>0</v>
      </c>
    </row>
    <row r="45" spans="1:14" x14ac:dyDescent="0.25">
      <c r="A45" s="546"/>
      <c r="B45" s="547"/>
      <c r="C45" s="548"/>
      <c r="D45" s="95"/>
      <c r="E45" s="86"/>
      <c r="F45" s="87"/>
      <c r="G45" s="84"/>
      <c r="H45" s="84">
        <v>1</v>
      </c>
      <c r="I45" s="84"/>
      <c r="J45" s="2">
        <f>'C1-WT'!K5</f>
        <v>0</v>
      </c>
      <c r="K45" s="92"/>
      <c r="L45" s="97">
        <f t="shared" si="0"/>
        <v>0</v>
      </c>
      <c r="M45" s="68">
        <f t="shared" si="1"/>
        <v>0</v>
      </c>
      <c r="N45" s="69">
        <f t="shared" si="2"/>
        <v>0</v>
      </c>
    </row>
    <row r="46" spans="1:14" ht="15.75" thickBot="1" x14ac:dyDescent="0.3">
      <c r="A46" s="558"/>
      <c r="B46" s="559"/>
      <c r="C46" s="560"/>
      <c r="D46" s="96"/>
      <c r="E46" s="88"/>
      <c r="F46" s="89"/>
      <c r="G46" s="90"/>
      <c r="H46" s="91">
        <v>1</v>
      </c>
      <c r="I46" s="90"/>
      <c r="J46" s="33">
        <f>'C1-WT'!K5</f>
        <v>0</v>
      </c>
      <c r="K46" s="93"/>
      <c r="L46" s="98">
        <f t="shared" si="0"/>
        <v>0</v>
      </c>
      <c r="M46" s="117">
        <f t="shared" si="1"/>
        <v>0</v>
      </c>
      <c r="N46" s="118">
        <f t="shared" si="2"/>
        <v>0</v>
      </c>
    </row>
    <row r="48" spans="1:14" x14ac:dyDescent="0.25">
      <c r="A48" s="542" t="s">
        <v>279</v>
      </c>
      <c r="B48" s="542"/>
      <c r="C48" s="542"/>
      <c r="D48" s="542"/>
      <c r="E48" s="542"/>
      <c r="F48" s="542"/>
    </row>
    <row r="49" spans="1:6" x14ac:dyDescent="0.25">
      <c r="A49" s="540" t="s">
        <v>280</v>
      </c>
      <c r="B49" s="524"/>
      <c r="C49" s="223" t="s">
        <v>275</v>
      </c>
      <c r="D49" s="223" t="s">
        <v>276</v>
      </c>
      <c r="E49" s="223" t="s">
        <v>277</v>
      </c>
      <c r="F49" s="223" t="s">
        <v>278</v>
      </c>
    </row>
    <row r="50" spans="1:6" x14ac:dyDescent="0.25">
      <c r="A50" s="539" t="s">
        <v>179</v>
      </c>
      <c r="B50" s="539"/>
      <c r="C50" s="84"/>
      <c r="D50" s="84"/>
      <c r="E50" s="84"/>
      <c r="F50" s="84"/>
    </row>
    <row r="51" spans="1:6" x14ac:dyDescent="0.25">
      <c r="A51" s="539" t="s">
        <v>175</v>
      </c>
      <c r="B51" s="539"/>
      <c r="C51" s="84"/>
      <c r="D51" s="84"/>
      <c r="E51" s="84"/>
      <c r="F51" s="84"/>
    </row>
    <row r="52" spans="1:6" x14ac:dyDescent="0.25">
      <c r="A52" s="539" t="s">
        <v>176</v>
      </c>
      <c r="B52" s="539"/>
      <c r="C52" s="84" t="str">
        <f>hth_plus</f>
        <v>Hand to Hand Upgrade</v>
      </c>
      <c r="D52" s="84"/>
      <c r="E52" s="84"/>
      <c r="F52" s="84"/>
    </row>
    <row r="53" spans="1:6" x14ac:dyDescent="0.25">
      <c r="A53" s="539" t="s">
        <v>177</v>
      </c>
      <c r="B53" s="539"/>
      <c r="C53" s="84" t="str">
        <f>hth_plus</f>
        <v>Hand to Hand Upgrade</v>
      </c>
      <c r="D53" s="84" t="str">
        <f>hth_plus</f>
        <v>Hand to Hand Upgrade</v>
      </c>
      <c r="E53" s="84" t="str">
        <f>hth_plus</f>
        <v>Hand to Hand Upgrade</v>
      </c>
      <c r="F53" s="84"/>
    </row>
    <row r="54" spans="1:6" x14ac:dyDescent="0.25">
      <c r="A54" s="539" t="s">
        <v>178</v>
      </c>
      <c r="B54" s="539"/>
      <c r="C54" s="84" t="str">
        <f>hth_plus</f>
        <v>Hand to Hand Upgrade</v>
      </c>
      <c r="D54" s="84" t="str">
        <f>hth_plus</f>
        <v>Hand to Hand Upgrade</v>
      </c>
      <c r="E54" s="84" t="str">
        <f>hth_plus</f>
        <v>Hand to Hand Upgrade</v>
      </c>
      <c r="F54" s="84"/>
    </row>
    <row r="55" spans="1:6" x14ac:dyDescent="0.25">
      <c r="A55" s="1"/>
      <c r="B55" s="1"/>
      <c r="C55" s="1"/>
      <c r="D55" s="1"/>
      <c r="E55" s="1"/>
      <c r="F55" s="1"/>
    </row>
    <row r="56" spans="1:6" x14ac:dyDescent="0.25">
      <c r="A56" s="541" t="s">
        <v>274</v>
      </c>
      <c r="B56" s="541"/>
      <c r="C56" s="541"/>
      <c r="D56" s="541"/>
      <c r="E56" s="541"/>
      <c r="F56" s="541"/>
    </row>
    <row r="57" spans="1:6" x14ac:dyDescent="0.25">
      <c r="A57" s="1"/>
      <c r="B57" s="1"/>
      <c r="C57" s="1"/>
      <c r="D57" s="1"/>
      <c r="E57" s="1"/>
      <c r="F57" s="1"/>
    </row>
    <row r="58" spans="1:6" x14ac:dyDescent="0.25">
      <c r="A58" s="194" t="s">
        <v>307</v>
      </c>
      <c r="B58" s="1"/>
      <c r="C58" s="1"/>
      <c r="D58" s="1"/>
      <c r="E58" s="1"/>
      <c r="F58" s="1"/>
    </row>
  </sheetData>
  <sheetProtection algorithmName="SHA-512" hashValue="/Br3OncdjM6q0tkzzOIbRfDzBeGNwDld2aUkCjOyjcOFmey9dSjT5ApyR1ewaaZYioz3/WXILfvXbJFCH8znsQ==" saltValue="oDGtYTMEi74R5MTqdhYkBw==" spinCount="100000" sheet="1" selectLockedCells="1"/>
  <mergeCells count="54">
    <mergeCell ref="A12:C12"/>
    <mergeCell ref="A1:C1"/>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36:C36"/>
    <mergeCell ref="A25:C25"/>
    <mergeCell ref="A26:C26"/>
    <mergeCell ref="A27:C27"/>
    <mergeCell ref="A28:C28"/>
    <mergeCell ref="A29:C29"/>
    <mergeCell ref="A30:C30"/>
    <mergeCell ref="A31:C31"/>
    <mergeCell ref="A32:C32"/>
    <mergeCell ref="A33:C33"/>
    <mergeCell ref="A34:C34"/>
    <mergeCell ref="A35:C35"/>
    <mergeCell ref="A43:C43"/>
    <mergeCell ref="A44:C44"/>
    <mergeCell ref="A45:C45"/>
    <mergeCell ref="A46:C46"/>
    <mergeCell ref="A37:C37"/>
    <mergeCell ref="A38:C38"/>
    <mergeCell ref="A39:C39"/>
    <mergeCell ref="A40:C40"/>
    <mergeCell ref="A41:C41"/>
    <mergeCell ref="A42:C42"/>
    <mergeCell ref="A53:B53"/>
    <mergeCell ref="A54:B54"/>
    <mergeCell ref="A56:F56"/>
    <mergeCell ref="A48:F48"/>
    <mergeCell ref="A49:B49"/>
    <mergeCell ref="A50:B50"/>
    <mergeCell ref="A51:B51"/>
    <mergeCell ref="A52:B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247</vt:i4>
      </vt:variant>
    </vt:vector>
  </HeadingPairs>
  <TitlesOfParts>
    <vt:vector size="258" baseType="lpstr">
      <vt:lpstr>Instructions</vt:lpstr>
      <vt:lpstr>NPC Sheet</vt:lpstr>
      <vt:lpstr>Primary Worksheet</vt:lpstr>
      <vt:lpstr>C1-WT</vt:lpstr>
      <vt:lpstr>C1-SWT</vt:lpstr>
      <vt:lpstr>C2-WT</vt:lpstr>
      <vt:lpstr>C2-SWT</vt:lpstr>
      <vt:lpstr>C3-WT</vt:lpstr>
      <vt:lpstr>C3-SWT</vt:lpstr>
      <vt:lpstr>Editor's Notes</vt:lpstr>
      <vt:lpstr>Combat</vt:lpstr>
      <vt:lpstr>ability_desc</vt:lpstr>
      <vt:lpstr>ability_type</vt:lpstr>
      <vt:lpstr>alt_weapon</vt:lpstr>
      <vt:lpstr>archery</vt:lpstr>
      <vt:lpstr>armor</vt:lpstr>
      <vt:lpstr>armor_select</vt:lpstr>
      <vt:lpstr>armor_type</vt:lpstr>
      <vt:lpstr>at_1</vt:lpstr>
      <vt:lpstr>at_1_c1</vt:lpstr>
      <vt:lpstr>at_2</vt:lpstr>
      <vt:lpstr>at_3</vt:lpstr>
      <vt:lpstr>at_4</vt:lpstr>
      <vt:lpstr>at_5</vt:lpstr>
      <vt:lpstr>at_6</vt:lpstr>
      <vt:lpstr>at_7</vt:lpstr>
      <vt:lpstr>battle_axe</vt:lpstr>
      <vt:lpstr>blunt</vt:lpstr>
      <vt:lpstr>calc_lev</vt:lpstr>
      <vt:lpstr>carry_throw</vt:lpstr>
      <vt:lpstr>chain</vt:lpstr>
      <vt:lpstr>char_xp</vt:lpstr>
      <vt:lpstr>class_1</vt:lpstr>
      <vt:lpstr>class_2</vt:lpstr>
      <vt:lpstr>class_3</vt:lpstr>
      <vt:lpstr>combat_bonus</vt:lpstr>
      <vt:lpstr>excel_carry</vt:lpstr>
      <vt:lpstr>forked</vt:lpstr>
      <vt:lpstr>giant_throw</vt:lpstr>
      <vt:lpstr>hand_to_hand</vt:lpstr>
      <vt:lpstr>hook</vt:lpstr>
      <vt:lpstr>hth_assassin</vt:lpstr>
      <vt:lpstr>hth_basic</vt:lpstr>
      <vt:lpstr>hth_bonus</vt:lpstr>
      <vt:lpstr>hth_expert</vt:lpstr>
      <vt:lpstr>hth_list</vt:lpstr>
      <vt:lpstr>hth_ma</vt:lpstr>
      <vt:lpstr>hth_none</vt:lpstr>
      <vt:lpstr>hth_occ1</vt:lpstr>
      <vt:lpstr>hth_occ2</vt:lpstr>
      <vt:lpstr>hth_occ3</vt:lpstr>
      <vt:lpstr>hth_plus</vt:lpstr>
      <vt:lpstr>hth_select</vt:lpstr>
      <vt:lpstr>hth1_cost</vt:lpstr>
      <vt:lpstr>hth2_cost</vt:lpstr>
      <vt:lpstr>hth3_cost</vt:lpstr>
      <vt:lpstr>iq_skill</vt:lpstr>
      <vt:lpstr>knife</vt:lpstr>
      <vt:lpstr>ma_trust</vt:lpstr>
      <vt:lpstr>main_weapon</vt:lpstr>
      <vt:lpstr>me_insane</vt:lpstr>
      <vt:lpstr>me_psi</vt:lpstr>
      <vt:lpstr>missile</vt:lpstr>
      <vt:lpstr>mouth</vt:lpstr>
      <vt:lpstr>net</vt:lpstr>
      <vt:lpstr>norm_throw</vt:lpstr>
      <vt:lpstr>occ_select</vt:lpstr>
      <vt:lpstr>occ1_attack</vt:lpstr>
      <vt:lpstr>occ1_coma</vt:lpstr>
      <vt:lpstr>occ1_control</vt:lpstr>
      <vt:lpstr>occ1_damage</vt:lpstr>
      <vt:lpstr>occ1_disease</vt:lpstr>
      <vt:lpstr>occ1_dodge</vt:lpstr>
      <vt:lpstr>occ1_element</vt:lpstr>
      <vt:lpstr>occ1_f_mag</vt:lpstr>
      <vt:lpstr>occ1_hf</vt:lpstr>
      <vt:lpstr>occ1_hp</vt:lpstr>
      <vt:lpstr>occ1_illusion</vt:lpstr>
      <vt:lpstr>occ1_initiative</vt:lpstr>
      <vt:lpstr>occ1_insane</vt:lpstr>
      <vt:lpstr>occ1_iq</vt:lpstr>
      <vt:lpstr>occ1_isp</vt:lpstr>
      <vt:lpstr>occ1_ma</vt:lpstr>
      <vt:lpstr>occ1_magic</vt:lpstr>
      <vt:lpstr>occ1_me</vt:lpstr>
      <vt:lpstr>occ1_parry</vt:lpstr>
      <vt:lpstr>occ1_pb</vt:lpstr>
      <vt:lpstr>occ1_pe</vt:lpstr>
      <vt:lpstr>occ1_poison</vt:lpstr>
      <vt:lpstr>occ1_possess</vt:lpstr>
      <vt:lpstr>occ1_pp</vt:lpstr>
      <vt:lpstr>occ1_ppe</vt:lpstr>
      <vt:lpstr>occ1_ps</vt:lpstr>
      <vt:lpstr>occ1_psi</vt:lpstr>
      <vt:lpstr>occ1_pull</vt:lpstr>
      <vt:lpstr>occ1_roll</vt:lpstr>
      <vt:lpstr>occ1_sdc</vt:lpstr>
      <vt:lpstr>occ1_spd</vt:lpstr>
      <vt:lpstr>occ1_strike</vt:lpstr>
      <vt:lpstr>occ2_attack</vt:lpstr>
      <vt:lpstr>occ2_coma</vt:lpstr>
      <vt:lpstr>occ2_control</vt:lpstr>
      <vt:lpstr>occ2_damage</vt:lpstr>
      <vt:lpstr>occ2_disease</vt:lpstr>
      <vt:lpstr>occ2_dodge</vt:lpstr>
      <vt:lpstr>occ2_element</vt:lpstr>
      <vt:lpstr>occ2_f_mag</vt:lpstr>
      <vt:lpstr>occ2_hf</vt:lpstr>
      <vt:lpstr>occ2_hp</vt:lpstr>
      <vt:lpstr>occ2_illusion</vt:lpstr>
      <vt:lpstr>occ2_initiative</vt:lpstr>
      <vt:lpstr>occ2_insane</vt:lpstr>
      <vt:lpstr>occ2_iq</vt:lpstr>
      <vt:lpstr>occ2_isp</vt:lpstr>
      <vt:lpstr>occ2_ma</vt:lpstr>
      <vt:lpstr>occ2_magic</vt:lpstr>
      <vt:lpstr>occ2_me</vt:lpstr>
      <vt:lpstr>occ2_parry</vt:lpstr>
      <vt:lpstr>occ2_pb</vt:lpstr>
      <vt:lpstr>occ2_pe</vt:lpstr>
      <vt:lpstr>occ2_poison</vt:lpstr>
      <vt:lpstr>occ2_possess</vt:lpstr>
      <vt:lpstr>occ2_pp</vt:lpstr>
      <vt:lpstr>occ2_ppe</vt:lpstr>
      <vt:lpstr>occ2_ps</vt:lpstr>
      <vt:lpstr>occ2_psi</vt:lpstr>
      <vt:lpstr>occ2_pull</vt:lpstr>
      <vt:lpstr>occ2_roll</vt:lpstr>
      <vt:lpstr>occ2_sdc</vt:lpstr>
      <vt:lpstr>occ2_spd</vt:lpstr>
      <vt:lpstr>occ2_strike</vt:lpstr>
      <vt:lpstr>occ3_attack</vt:lpstr>
      <vt:lpstr>occ3_coma</vt:lpstr>
      <vt:lpstr>occ3_control</vt:lpstr>
      <vt:lpstr>occ3_damage</vt:lpstr>
      <vt:lpstr>occ3_disease</vt:lpstr>
      <vt:lpstr>occ3_dodge</vt:lpstr>
      <vt:lpstr>occ3_element</vt:lpstr>
      <vt:lpstr>occ3_f_mag</vt:lpstr>
      <vt:lpstr>occ3_hf</vt:lpstr>
      <vt:lpstr>occ3_hp</vt:lpstr>
      <vt:lpstr>occ3_illusion</vt:lpstr>
      <vt:lpstr>occ3_initiative</vt:lpstr>
      <vt:lpstr>occ3_insane</vt:lpstr>
      <vt:lpstr>occ3_iq</vt:lpstr>
      <vt:lpstr>occ3_isp</vt:lpstr>
      <vt:lpstr>occ3_ma</vt:lpstr>
      <vt:lpstr>occ3_magic</vt:lpstr>
      <vt:lpstr>occ3_me</vt:lpstr>
      <vt:lpstr>occ3_parry</vt:lpstr>
      <vt:lpstr>occ3_pb</vt:lpstr>
      <vt:lpstr>occ3_pe</vt:lpstr>
      <vt:lpstr>occ3_poison</vt:lpstr>
      <vt:lpstr>occ3_possess</vt:lpstr>
      <vt:lpstr>occ3_pp</vt:lpstr>
      <vt:lpstr>occ3_ppe</vt:lpstr>
      <vt:lpstr>occ3_ps</vt:lpstr>
      <vt:lpstr>occ3_psi</vt:lpstr>
      <vt:lpstr>occ3_pull</vt:lpstr>
      <vt:lpstr>occ3_roll</vt:lpstr>
      <vt:lpstr>occ3_sdc</vt:lpstr>
      <vt:lpstr>occ3_spd</vt:lpstr>
      <vt:lpstr>occ3_strike</vt:lpstr>
      <vt:lpstr>pb_charm</vt:lpstr>
      <vt:lpstr>pe_coma</vt:lpstr>
      <vt:lpstr>pe_magic</vt:lpstr>
      <vt:lpstr>percent</vt:lpstr>
      <vt:lpstr>plus</vt:lpstr>
      <vt:lpstr>pole_arm</vt:lpstr>
      <vt:lpstr>pounds</vt:lpstr>
      <vt:lpstr>pp_strike</vt:lpstr>
      <vt:lpstr>ps_carry</vt:lpstr>
      <vt:lpstr>ps_dam</vt:lpstr>
      <vt:lpstr>ps_giant</vt:lpstr>
      <vt:lpstr>ps_list</vt:lpstr>
      <vt:lpstr>ps_normal</vt:lpstr>
      <vt:lpstr>ps_select</vt:lpstr>
      <vt:lpstr>ps_supernatural</vt:lpstr>
      <vt:lpstr>ps_throw_max</vt:lpstr>
      <vt:lpstr>ps_throw1</vt:lpstr>
      <vt:lpstr>ps_throw10</vt:lpstr>
      <vt:lpstr>ps_type</vt:lpstr>
      <vt:lpstr>save_bonus</vt:lpstr>
      <vt:lpstr>save_coma</vt:lpstr>
      <vt:lpstr>save_control</vt:lpstr>
      <vt:lpstr>save_disease</vt:lpstr>
      <vt:lpstr>save_element</vt:lpstr>
      <vt:lpstr>save_f_mag</vt:lpstr>
      <vt:lpstr>save_faerie</vt:lpstr>
      <vt:lpstr>save_hf</vt:lpstr>
      <vt:lpstr>save_illusion</vt:lpstr>
      <vt:lpstr>save_insane</vt:lpstr>
      <vt:lpstr>save_magic</vt:lpstr>
      <vt:lpstr>save_poison</vt:lpstr>
      <vt:lpstr>save_possess</vt:lpstr>
      <vt:lpstr>save_psi</vt:lpstr>
      <vt:lpstr>shield</vt:lpstr>
      <vt:lpstr>siege</vt:lpstr>
      <vt:lpstr>skill_percent</vt:lpstr>
      <vt:lpstr>skill_table</vt:lpstr>
      <vt:lpstr>spear</vt:lpstr>
      <vt:lpstr>staff</vt:lpstr>
      <vt:lpstr>super_throw</vt:lpstr>
      <vt:lpstr>sword</vt:lpstr>
      <vt:lpstr>total_attack</vt:lpstr>
      <vt:lpstr>total_crit</vt:lpstr>
      <vt:lpstr>total_damage</vt:lpstr>
      <vt:lpstr>total_db</vt:lpstr>
      <vt:lpstr>total_dodge</vt:lpstr>
      <vt:lpstr>total_hp</vt:lpstr>
      <vt:lpstr>total_initiative</vt:lpstr>
      <vt:lpstr>total_iq</vt:lpstr>
      <vt:lpstr>total_isp</vt:lpstr>
      <vt:lpstr>total_ko</vt:lpstr>
      <vt:lpstr>total_ma</vt:lpstr>
      <vt:lpstr>total_me</vt:lpstr>
      <vt:lpstr>total_parry</vt:lpstr>
      <vt:lpstr>total_pb</vt:lpstr>
      <vt:lpstr>total_pe</vt:lpstr>
      <vt:lpstr>total_pp</vt:lpstr>
      <vt:lpstr>total_ppe</vt:lpstr>
      <vt:lpstr>total_ps</vt:lpstr>
      <vt:lpstr>total_pull</vt:lpstr>
      <vt:lpstr>total_roll</vt:lpstr>
      <vt:lpstr>total_sdc</vt:lpstr>
      <vt:lpstr>total_spd</vt:lpstr>
      <vt:lpstr>total_strike</vt:lpstr>
      <vt:lpstr>weapon_ref</vt:lpstr>
      <vt:lpstr>whip</vt:lpstr>
      <vt:lpstr>wp_alt</vt:lpstr>
      <vt:lpstr>wp_archery</vt:lpstr>
      <vt:lpstr>wp_axe</vt:lpstr>
      <vt:lpstr>wp_blunt</vt:lpstr>
      <vt:lpstr>wp_bonus</vt:lpstr>
      <vt:lpstr>wp_chain</vt:lpstr>
      <vt:lpstr>wp_forked</vt:lpstr>
      <vt:lpstr>wp_hook</vt:lpstr>
      <vt:lpstr>wp_knife</vt:lpstr>
      <vt:lpstr>wp_list</vt:lpstr>
      <vt:lpstr>wp_main</vt:lpstr>
      <vt:lpstr>wp_mouth</vt:lpstr>
      <vt:lpstr>wp_net</vt:lpstr>
      <vt:lpstr>wp_paired</vt:lpstr>
      <vt:lpstr>wp_pole</vt:lpstr>
      <vt:lpstr>wp_shield</vt:lpstr>
      <vt:lpstr>wp_siege</vt:lpstr>
      <vt:lpstr>wp_spear</vt:lpstr>
      <vt:lpstr>wp_staff</vt:lpstr>
      <vt:lpstr>wp_sword</vt:lpstr>
      <vt:lpstr>wp_target</vt:lpstr>
      <vt:lpstr>wp_whip</vt:lpstr>
      <vt:lpstr>wp1_occ1</vt:lpstr>
      <vt:lpstr>wp1_occ2</vt:lpstr>
      <vt:lpstr>wp1_occ3</vt:lpstr>
      <vt:lpstr>wp2_occ1</vt:lpstr>
      <vt:lpstr>wp2_occ2</vt:lpstr>
      <vt:lpstr>wp2_occ3</vt:lpstr>
      <vt:lpstr>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Prysus</dc:creator>
  <cp:lastModifiedBy>Prysus</cp:lastModifiedBy>
  <cp:lastPrinted>2018-07-05T17:25:41Z</cp:lastPrinted>
  <dcterms:created xsi:type="dcterms:W3CDTF">2017-12-31T17:29:49Z</dcterms:created>
  <dcterms:modified xsi:type="dcterms:W3CDTF">2018-07-29T03:08:42Z</dcterms:modified>
</cp:coreProperties>
</file>